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activeTab="0"/>
  </bookViews>
  <sheets>
    <sheet name="Sheet1" sheetId="1" r:id="rId1"/>
  </sheets>
  <definedNames>
    <definedName name="_xlnm._FilterDatabase" localSheetId="0" hidden="1">'Sheet1'!$A$11:$H$2037</definedName>
  </definedNames>
  <calcPr fullCalcOnLoad="1"/>
</workbook>
</file>

<file path=xl/sharedStrings.xml><?xml version="1.0" encoding="utf-8"?>
<sst xmlns="http://schemas.openxmlformats.org/spreadsheetml/2006/main" count="4160" uniqueCount="2098">
  <si>
    <t>Заказано кол-во</t>
  </si>
  <si>
    <t>Заказано сумма</t>
  </si>
  <si>
    <t>ic - пульты повышенного качества на корпусной микросхеме, из ABS пластика, фабрики HUAYU !!!!!!!!</t>
  </si>
  <si>
    <t>АРТИКУЛ</t>
  </si>
  <si>
    <t>НАИМЕНОВАНИЕ</t>
  </si>
  <si>
    <t>ТИП</t>
  </si>
  <si>
    <t>ЗАКАЗ</t>
  </si>
  <si>
    <t>ЦЕНА</t>
  </si>
  <si>
    <t>СУММА</t>
  </si>
  <si>
    <t>КАТАЛОГ</t>
  </si>
  <si>
    <t>ССЫЛКА</t>
  </si>
  <si>
    <t>TV</t>
  </si>
  <si>
    <t>Пульт для AIWA RC-AVT02</t>
  </si>
  <si>
    <t>Пульт для AIWA RC-TC141KE</t>
  </si>
  <si>
    <t>LED</t>
  </si>
  <si>
    <t>Пульт для AKAI 4GA1-901</t>
  </si>
  <si>
    <t>Пульт для AKAI A0001011 BLACK (ic)</t>
  </si>
  <si>
    <t>Пульт для AKAI A0001012 SILVER (ic)</t>
  </si>
  <si>
    <t>Пульт для AKAI A4001032 (ic)</t>
  </si>
  <si>
    <t>Пульт для AKAI ABL-105 T-81001SIF XU-5251C-N, KONKA 52H8</t>
  </si>
  <si>
    <t>Пульт для AKAI CX-507, SATURN LCD-267, ERISSON 19LEE01, HYUNDAI H-LED19V13, HELIX (ic)</t>
  </si>
  <si>
    <t>Пульт для AKAI HOF08J001, LTA-32N576HCP (ic)</t>
  </si>
  <si>
    <t>LCD</t>
  </si>
  <si>
    <t>Пульт для AKAI LEA-24B52P, 32B49P ВАР2 (ic)</t>
  </si>
  <si>
    <t>Пульт для AKAI LEA-32B49P ВАР1 (ic)</t>
  </si>
  <si>
    <t>Пульт для AKAI RC-1153012 (ic)   SATURN, TCL, ELENBERG 130, NASH 2522 2922F</t>
  </si>
  <si>
    <t>Пульт для AKAI RC-51A</t>
  </si>
  <si>
    <t>Пульт для AKAI RC-N2A</t>
  </si>
  <si>
    <t>Пульт для AKAI RC-W001TV</t>
  </si>
  <si>
    <t>Пульт для AKAI SLP-006P (ic)</t>
  </si>
  <si>
    <t>Пульт для AKAI WL52JC002 (ic)  (корпус Y-72C)</t>
  </si>
  <si>
    <t>Пульт для AKAI Y-72C2 MEDIA (ic)</t>
  </si>
  <si>
    <t>Пульт для AKAI ZD3279 14CTN50BG (ic)</t>
  </si>
  <si>
    <t>Пульт для AKIRA 32LED01T2M (ic)</t>
  </si>
  <si>
    <t>Пульт для AKIRA ABL-15 (ic)</t>
  </si>
  <si>
    <t>Пульт для AKIRA KLC5A-C12 (LCT-15CHST), TVD21 (ic)</t>
  </si>
  <si>
    <t>Пульт для AKIRA KM-1128A (ic)</t>
  </si>
  <si>
    <t>Пульт для AKIRA LCT-19V82ST (ic)</t>
  </si>
  <si>
    <t>Пульт для AKIRA NEW (ic)</t>
  </si>
  <si>
    <t>Пульт для AKIRA RS41-DCG 32LEC05T2S  (ic)</t>
  </si>
  <si>
    <t>Пульт для AKIRA RY-2002</t>
  </si>
  <si>
    <t>Пульт для AKIRA SY-001</t>
  </si>
  <si>
    <t>Пульт для AKIRA ZD-RC30 (ic)</t>
  </si>
  <si>
    <t>Пульт для ALPARI LH 32S81D, AKIRA</t>
  </si>
  <si>
    <t>Пульт для ALPARI RC03-52</t>
  </si>
  <si>
    <t>Пульт для AOC LCD-001, SAMSUNG 98TRABD-5NT-F</t>
  </si>
  <si>
    <t>Пульт для AOC LE32M3570/60, LE43M3570/6  (ic)</t>
  </si>
  <si>
    <t>Пульт для AVEST HYDFSR-0048HD (ic)</t>
  </si>
  <si>
    <t>Пульт для AVEST HYDFSR-0048RAG</t>
  </si>
  <si>
    <t>Пульт для AVEST HYF-08</t>
  </si>
  <si>
    <t>Пульт для AVEST K16R-C3, SITRONICS K10R-C17, SOKOLK16R-C10 K16R-C17</t>
  </si>
  <si>
    <t>Пульт для AVEST RC-241, NOKASONIC YKF-51N, BRAVISRC01-02, T-81003</t>
  </si>
  <si>
    <t>Пульт для BBK EN-21662B, BBK LT-1918SU, LT-2218SU</t>
  </si>
  <si>
    <t>Пульт для BBK LT-1504, TECO LCD TL1901RR (ic)</t>
  </si>
  <si>
    <t>Пульт для BBK LT-3204, CAMERON RC60021 (ic)</t>
  </si>
  <si>
    <t>Пульт для BBK RC-1529, MYSTERY TC1860F, SUPRA LC-3204W, AKIRA (ic)</t>
  </si>
  <si>
    <t>Пульт для BBK RC-1902, SHIVAKI N2001508 (ic)</t>
  </si>
  <si>
    <t>Пульт для BBK RC-1951 (ic)</t>
  </si>
  <si>
    <t>Пульт для BBK RC-2465, MYSTERY (ic)</t>
  </si>
  <si>
    <t>Пульт для BBK RC-2603, RC3704, SANYO, PRIMA (ic)</t>
  </si>
  <si>
    <t>Пульт для BBK RC-3229, MYSTERY KT6949 (ic)</t>
  </si>
  <si>
    <t>Пульт для BBK RC-LEM100 (ic)</t>
  </si>
  <si>
    <t>Пульт для BEKO 100 Hz, RC5B718F (ic)</t>
  </si>
  <si>
    <t>Пульт для BEKO RC-613311 (ic)</t>
  </si>
  <si>
    <t>Пульт для BEKO TH-492 sleep, RC-46111</t>
  </si>
  <si>
    <t>Пульт для BEKO TH-493 menu</t>
  </si>
  <si>
    <t>Пульт для BLAUPUNKT DH1401053645 (ic)</t>
  </si>
  <si>
    <t>Пульт для BRAVIS 55D2000 (ic)</t>
  </si>
  <si>
    <t>Пульт для BRAVIS BR-55WH, POLAR RC-45, POLAR RC-6EG1-4BC</t>
  </si>
  <si>
    <t>Пульт для BRAVIS CRT141F, SHIVAKI, SUPRA CTV-2128U</t>
  </si>
  <si>
    <t>Пульт для BRAVIS LC-19A40 (ic)</t>
  </si>
  <si>
    <t>Пульт для BRAVIS LCC-2632, 3232,LCD-2632,3232 (ic)</t>
  </si>
  <si>
    <t>Пульт для BRAVIS LCD TV BLACK</t>
  </si>
  <si>
    <t>Пульт для BRAVIS LCD1536B COMBO</t>
  </si>
  <si>
    <t>Пульт для BRAVIS LED-3228 (LED-3238)  (ic)</t>
  </si>
  <si>
    <t>Пульт для BRAVIS LED-3299, AKAI LTA-15A15M,  RAINFORD LED-2499 (ic)</t>
  </si>
  <si>
    <t>Пульт для BRAVIS LED43D5000</t>
  </si>
  <si>
    <t>Пульт для BRAVIS LED-DB3200BH, SATURN LED32A, LED24A (ic)</t>
  </si>
  <si>
    <t>Пульт для BRAVIS LED-EH4720BF, LED-16E96B, LED-LH2410BH (ic)</t>
  </si>
  <si>
    <t>Пульт для BRAVIS P01S-N , TV1516 (ic)</t>
  </si>
  <si>
    <t>Пульт для BRAVIS ZSJ-5104 (ic)</t>
  </si>
  <si>
    <t>Пульт для BRAVIS ZVT03, ERISSON RC-15D (ic)</t>
  </si>
  <si>
    <t>Пульт для CAMERON EN-21607, EN-20607,BBK EN025-05R</t>
  </si>
  <si>
    <t>Пульт для CAMERON LTV-1510 (ic)</t>
  </si>
  <si>
    <t>Пульт для CAMERON LVD-1504 (ic)</t>
  </si>
  <si>
    <t>Пульт для CHINA TV 55K9R-P81 (ic)</t>
  </si>
  <si>
    <t>Пульт для CHINA TV casing 107N mini NOKASONIC 01FENOC</t>
  </si>
  <si>
    <t>Пульт для CHINA TV KLX-14PAS корпус PANASONIC 7717010 (ic)</t>
  </si>
  <si>
    <t>Пульт для CHINA TV KONKA HX55K8 DAEWOO, WEGA, LG (ic)</t>
  </si>
  <si>
    <t>Пульт для CHINA TV LCD-1906</t>
  </si>
  <si>
    <t>Пульт для CHINA TV XU-5Z51S DAEWOO, WEGA, LG</t>
  </si>
  <si>
    <t>Пульт для CHINA TV XU-5Z51S корпус SHARP (ic)</t>
  </si>
  <si>
    <t>Пульт для CORFUG, SIESTA RC-18B004 for Ч/Б TV (ic)</t>
  </si>
  <si>
    <t>Пульт для COSMOSAT CS-77 EXT TV TUNER</t>
  </si>
  <si>
    <t>Пульт для DAEWOO DTA1414</t>
  </si>
  <si>
    <t>Пульт для DAEWOO HYDFSR-0048UOCD (ic)</t>
  </si>
  <si>
    <t>Пульт для DAEWOO R-18A07</t>
  </si>
  <si>
    <t>Пульт для DAEWOO R-22</t>
  </si>
  <si>
    <t>Пульт для DAEWOO R-25</t>
  </si>
  <si>
    <t>Пульт для DAEWOO R-40A01</t>
  </si>
  <si>
    <t>Пульт для DAEWOO R-40A01 (ic)</t>
  </si>
  <si>
    <t>Пульт для DAEWOO R-40A01 СЕРЫЙ КОРПУС</t>
  </si>
  <si>
    <t>Пульт для DAEWOO R-40A06</t>
  </si>
  <si>
    <t>Пульт для DAEWOO R-40B07</t>
  </si>
  <si>
    <t>Пульт для DAEWOO R-44DS01</t>
  </si>
  <si>
    <t>Пульт для DAEWOO R-48A01 (ic)</t>
  </si>
  <si>
    <t>Пульт для DAEWOO R-55G10</t>
  </si>
  <si>
    <t>Пульт для DAEWOO R-55H11</t>
  </si>
  <si>
    <t>Пульт для DAEWOO R-59A01 (ic)</t>
  </si>
  <si>
    <t>Пульт для DAEWOO R-59B01 R-59B02 (ic)</t>
  </si>
  <si>
    <t>Пульт для DAEWOO R-9A</t>
  </si>
  <si>
    <t>Пульт для DAEWOO RC-DWT01-V01 (ic)</t>
  </si>
  <si>
    <t>Пульт для DEX LE2845T2 (ic)  ROMSAT 55UMT16512T2</t>
  </si>
  <si>
    <t>Пульт для DEX LT-2220, LT-2611, LT-3211, LT-3250 (ic)</t>
  </si>
  <si>
    <t>Пульт для DEXP 32A7000   (ic)</t>
  </si>
  <si>
    <t>Пульт для DEXP ER-22601A (F40B7000H)  (ic)</t>
  </si>
  <si>
    <t>Пульт для DIGITAL С2113S, ALPARI, ELECTRON, AKIRAACH-P-2, WEST</t>
  </si>
  <si>
    <t>Пульт для DISTAR DR-MN6014W, DT2016,ORSON C-2086CK</t>
  </si>
  <si>
    <t>Пульт для DMTECH LC03-AR028A,PRESTIGIO,ROLSEN (ic)</t>
  </si>
  <si>
    <t>Пульт для DOMOTEC 8073B00, OSKAR</t>
  </si>
  <si>
    <t>Пульт для ELECTRON KEX2D-C6 (ic) ROLSEN KEX1D-C23</t>
  </si>
  <si>
    <t>Пульт для ELECTRON RC-817, RAINFORD RC-61212</t>
  </si>
  <si>
    <t>Пульт для ELECTRON RC-GK22G1 , AKIRA CT-21VUCS, SUZUKI</t>
  </si>
  <si>
    <t>Пульт для ELECTRON RK-41A (ic)</t>
  </si>
  <si>
    <t>Пульт для ELECTRON T81100 (ic)</t>
  </si>
  <si>
    <t>Пульт для ELENBERG 28AH4130, ERISSON MK-53D (ic)32AH4110</t>
  </si>
  <si>
    <t>Пульт для ELENBERG 32DH4330</t>
  </si>
  <si>
    <t>Пульт для ELENBERG 48DF5030 (ic)  AKAI LES-48X87WF</t>
  </si>
  <si>
    <t>Пульт для ELENBERG HOF-54B1.3 красные кнопки (ic)</t>
  </si>
  <si>
    <t>Пульт для ELENBERG HOF-54B1.4 (ic)</t>
  </si>
  <si>
    <t>Пульт для ELENBERG KK-Y271N (ic)</t>
  </si>
  <si>
    <t>Пульт для ELENBERG Y27401, KONKA (ic)</t>
  </si>
  <si>
    <t>Пульт для ELITE TC9012-01S-N HOB026, WEST, AKITA (ic)</t>
  </si>
  <si>
    <t>Пульт для ERGO 32DHS6000 MEGOGO</t>
  </si>
  <si>
    <t>Пульт для ERGO 43CU6500AK, GRUNHELM, AKAI, MYSTERY, MANTA, LIBERTY, SKYMASTER (ic)</t>
  </si>
  <si>
    <t>Пульт для ERGO 55DU6510 MEGOGO,  32DH3000</t>
  </si>
  <si>
    <t>Пульт для ERGO LE17D5, 32D6, 39D3, LE17M4W (ic)</t>
  </si>
  <si>
    <t>Пульт для ERISSON 15LS01, SUPRA, HYUNDAI</t>
  </si>
  <si>
    <t>Пульт для ERISSON 16LEJ02, 19LEJ02  (ic)</t>
  </si>
  <si>
    <t>Пульт для ERISSON 42LEN52 (ic)</t>
  </si>
  <si>
    <t>Пульт для ERISSON F3S520, RC-03-3004</t>
  </si>
  <si>
    <t>Пульт для ERISSON F4S028, SATURN ST-25NF1D</t>
  </si>
  <si>
    <t>Пульт для ERISSON FHS085 ANAL, START, SATURN 29WS1, AKIRA 21LS9R</t>
  </si>
  <si>
    <t>Пульт для ERISSON FHS-08A, SATURN ST2120</t>
  </si>
  <si>
    <t>Пульт для ERISSON HOF08B, SUPRA S29SL10, HYUNDAI</t>
  </si>
  <si>
    <t>Пульт для ERISSON LY-3700</t>
  </si>
  <si>
    <t>Пульт для ERISSON RC200 Timeshift (ic)</t>
  </si>
  <si>
    <t>Пульт для ERISSON RC-5W63</t>
  </si>
  <si>
    <t>Пульт для ERISSON WS-237</t>
  </si>
  <si>
    <t>Пульт для FINLUX 32FLHYR274S, SNL0575A, TELEFUNKEN, VESTEL, GRUNDIG, ROMSAT</t>
  </si>
  <si>
    <t>Пульт для FUNAI 2100 MK10 TXT</t>
  </si>
  <si>
    <t>Пульт для FUNAI 2100A MK11</t>
  </si>
  <si>
    <t>Пульт для FUNAI 2100A MK12</t>
  </si>
  <si>
    <t>Пульт для FUNAI MK2</t>
  </si>
  <si>
    <t>Пульт для FUNAI MK7/8</t>
  </si>
  <si>
    <t>Пульт для FUNAI MK7/8 VCR</t>
  </si>
  <si>
    <t>Пульт для FUSION FLTV-16H100 (ic) Harper 16R470</t>
  </si>
  <si>
    <t>Пульт для FUSION LTV-32L40B, SUPRA  (ic)</t>
  </si>
  <si>
    <t>Пульт для GOLDSTAR 105-198C</t>
  </si>
  <si>
    <t>Пульт для GOLDSTAR 105-230A (ic)</t>
  </si>
  <si>
    <t>Пульт для GOLDSTAR VS-068A</t>
  </si>
  <si>
    <t>Пульт для GROL 1403, 2103, NASH</t>
  </si>
  <si>
    <t>Пульт для GROL GR-21FT, GR-2110, ELITE casing P01-SN</t>
  </si>
  <si>
    <t>Пульт для GROL RS09-M301 (ic)</t>
  </si>
  <si>
    <t>Пульт для GROL RS09-M351 (ic)</t>
  </si>
  <si>
    <t>Пульт для GROL RS09-MS33, RS09-M333 (ic)</t>
  </si>
  <si>
    <t>Пульт для GRUNDIG RC3214803 TP6187R-P1 (TP6)</t>
  </si>
  <si>
    <t>Пульт для GRUNDIG TP621</t>
  </si>
  <si>
    <t>Пульт для GRUNDIG TP623</t>
  </si>
  <si>
    <t>Пульт для GRUNDIG TP660</t>
  </si>
  <si>
    <t>Пульт для GRUNDIG TP663</t>
  </si>
  <si>
    <t>Пульт для GRUNDIG TP711</t>
  </si>
  <si>
    <t>Пульт для GRUNDIG TP711 (ic)</t>
  </si>
  <si>
    <t>Пульт для GRUNDIG TP720</t>
  </si>
  <si>
    <t>Пульт для GRUNDIG TP725</t>
  </si>
  <si>
    <t>Пульт для GRUNDIG TP741</t>
  </si>
  <si>
    <t>Пульт для GRUNDIG TP760</t>
  </si>
  <si>
    <t>Пульт для GRUNDIG TP760 (ic)</t>
  </si>
  <si>
    <t>Пульт для GRUNDIG TP800 (ic)</t>
  </si>
  <si>
    <t>Пульт для HAIER HTR-022 (ic)</t>
  </si>
  <si>
    <t>Пульт для HAIER HTR-040 (ic)</t>
  </si>
  <si>
    <t>Пульт для HARPER 42F660T (ic) ELENBERG 32DH4330 (Вер.1)</t>
  </si>
  <si>
    <t>Пульт для HISENSE EN2BB27HB  Netflix, YouTube, Smart TV</t>
  </si>
  <si>
    <t>Пульт для HISENSE EN2G30H (ic)  Netflix, Prime Video, RakutenTV, YouTube, Smart TV</t>
  </si>
  <si>
    <t>Пульт для HISENSE EN3Y39H (ic)  Netflix, YouTube,</t>
  </si>
  <si>
    <t>Пульт для HITACHI CLE-865A</t>
  </si>
  <si>
    <t>TV,VCR</t>
  </si>
  <si>
    <t>Пульт для HITACHI CLE-891</t>
  </si>
  <si>
    <t>Пульт для HITACHI CLE-898</t>
  </si>
  <si>
    <t>Пульт для HITACHI CLE-924A</t>
  </si>
  <si>
    <t>Пульт для HITACHI CLE-937</t>
  </si>
  <si>
    <t>Пульт для HITACHI CLE-947 (ic)</t>
  </si>
  <si>
    <t>Пульт для HITACHI CLE-964 (ic)</t>
  </si>
  <si>
    <t>Пульт для HITACHI CLE-996 (ic)</t>
  </si>
  <si>
    <t>Пульт для HPC LHA-1528, 2698</t>
  </si>
  <si>
    <t>Пульт для HYUNDAI 56M2-901 (ic)</t>
  </si>
  <si>
    <t>Пульт для HYUNDAI 56MZ-901</t>
  </si>
  <si>
    <t>Пульт для HYUNDAI 57LO (ic)</t>
  </si>
  <si>
    <t>Пульт для HYUNDAI 5Z51-902</t>
  </si>
  <si>
    <t>Пульт для HYUNDAI H-LCD1510, SATURN LCD153, SUPRALC1922W (ic)</t>
  </si>
  <si>
    <t>Пульт для HYUNDAI H-LCD1515 (ic)</t>
  </si>
  <si>
    <t>Пульт для HYUNDAI H-LCD2202, GCOVA1028SJ (ic)</t>
  </si>
  <si>
    <t>Пульт для HYUNDAI H-LCDVD1912, SUPRA LC2622WD (ic)</t>
  </si>
  <si>
    <t>Пульт для HYUNDAI H-LED24V16, H-LED15V16 (ic)</t>
  </si>
  <si>
    <t>Пульт для HYUNDAI H-LED32V6, ALPARI PL42HDR720 BRAVIS PDP-42720F (ic)</t>
  </si>
  <si>
    <t>Пульт для HYUNDAI H-LED43EU7001 (ic)</t>
  </si>
  <si>
    <t>Пульт для HYUNDAI MB-105,   NEXON, NOKASONIC, AKAI, SATURN</t>
  </si>
  <si>
    <t>Пульт для HYUNDAI RC-3901</t>
  </si>
  <si>
    <t>Пульт для HYUNDAI RC44F, H-LED22V1, H-LED24V5 (ic)</t>
  </si>
  <si>
    <t>Пульт для HYUNDAI RC-9381, ALPARI, SATURN NT11106-123, POLAR 9341, DIGITAL</t>
  </si>
  <si>
    <t>Пульт для HYUNDAI RC-9381-1 (ic)</t>
  </si>
  <si>
    <t>Пульт для IZUMI TL32H211B,TL26H211B,TL15H102B (ic)</t>
  </si>
  <si>
    <t>Пульт для IZUMI TLE22FD330B (ic)</t>
  </si>
  <si>
    <t>Пульт для JIN LI PU P02L-N, GROL GR-2101</t>
  </si>
  <si>
    <t>Пульт для JIN LI PUI RC-241, WEST ES-21514C (ic)</t>
  </si>
  <si>
    <t>Пульт для JVC KT1157-SX (ic)</t>
  </si>
  <si>
    <t>Пульт для JVC RM-C1023</t>
  </si>
  <si>
    <t>Пульт для JVC RM-C1120</t>
  </si>
  <si>
    <t>Пульт для JVC RM-C1150 (ic)</t>
  </si>
  <si>
    <t>Пульт для JVC RM-C1261</t>
  </si>
  <si>
    <t>Пульт для JVC RM-C1261 (ic)</t>
  </si>
  <si>
    <t>Пульт для JVC RM-C1280</t>
  </si>
  <si>
    <t>Пульт для JVC RM-C1281</t>
  </si>
  <si>
    <t>Пульт для JVC RM-C1281 (ic)</t>
  </si>
  <si>
    <t>Пульт для JVC RM-C1285</t>
  </si>
  <si>
    <t>Пульт для JVC RM-C1302</t>
  </si>
  <si>
    <t>Пульт для JVC RM-C1350</t>
  </si>
  <si>
    <t>Пульт для JVC RM-C220 (ic)</t>
  </si>
  <si>
    <t>Пульт для JVC RM-C334, RM-C333</t>
  </si>
  <si>
    <t>Пульт для JVC RM-C355</t>
  </si>
  <si>
    <t>Пульт для JVC RM-C355 (ic)</t>
  </si>
  <si>
    <t>Пульт для JVC RM-C360</t>
  </si>
  <si>
    <t>Пульт для JVC RM-C364GY</t>
  </si>
  <si>
    <t>Пульт для JVC RM-C364GY (ic)</t>
  </si>
  <si>
    <t>Пульт для JVC RM-C438</t>
  </si>
  <si>
    <t>Пульт для JVC RM-C457 (ic)</t>
  </si>
  <si>
    <t>Пульт для JVC RM-C462</t>
  </si>
  <si>
    <t>Пульт для JVC RM-C470</t>
  </si>
  <si>
    <t>Пульт для JVC RM-C495 (ic)</t>
  </si>
  <si>
    <t>Пульт для JVC RM-C498-H</t>
  </si>
  <si>
    <t>Пульт для JVC RM-C530</t>
  </si>
  <si>
    <t>Пульт для JVC RM-C530F</t>
  </si>
  <si>
    <t>Пульт для JVC RM-C547</t>
  </si>
  <si>
    <t>Пульт для JVC RM-C565</t>
  </si>
  <si>
    <t>Пульт для JVC RM-C90</t>
  </si>
  <si>
    <t>Пульт для JVC RM-C90 (ic)</t>
  </si>
  <si>
    <t>Пульт для KIVI 32HX10S (ic)</t>
  </si>
  <si>
    <t>Пульт для KONKA 1428, OPERA, NASH 5435, TA-8831, ТА-8803</t>
  </si>
  <si>
    <t>Пульт для KONKA 52K7A (5ZK7A)</t>
  </si>
  <si>
    <t>Пульт для KONKA 5Y29A</t>
  </si>
  <si>
    <t>Пульт для KONKA HOT393, NOBEL (ic)</t>
  </si>
  <si>
    <t>Пульт для KONKA JIN LI PU new, OSD+GAME+PP, LG 55K2, XI-025</t>
  </si>
  <si>
    <t>Пульт для KONKA KK-Y229 (ic)</t>
  </si>
  <si>
    <t>Пульт для KONKA KK-Y250E (ic)</t>
  </si>
  <si>
    <t>Пульт для KONKA KK-Y267, KK-Y267B, ELENBERG</t>
  </si>
  <si>
    <t>Пульт для KONKA LCD, CHINA TV</t>
  </si>
  <si>
    <t>Пульт для KONKA OSD+SYS+PIC+1 РЯД</t>
  </si>
  <si>
    <t>Пульт для LG 105-224F</t>
  </si>
  <si>
    <t>Пульт для LG 105-224P PIP</t>
  </si>
  <si>
    <t>Пульт для LG 105-229Y</t>
  </si>
  <si>
    <t>Пульт для LG 105-230M</t>
  </si>
  <si>
    <t>Пульт для LG 105-230M (ic)</t>
  </si>
  <si>
    <t>Пульт для LG 6710900010E</t>
  </si>
  <si>
    <t>Пульт для LG 6710900019F (ic)</t>
  </si>
  <si>
    <t>Пульт для LG 6710T00008B, AKB30377804 (ic)</t>
  </si>
  <si>
    <t>Пульт для LG 6710T00126R</t>
  </si>
  <si>
    <t>Пульт для LG 6710T00141K (ic)</t>
  </si>
  <si>
    <t>Пульт для LG 6710V00007A</t>
  </si>
  <si>
    <t>Пульт для LG 6710V00008A</t>
  </si>
  <si>
    <t>Пульт для LG 6710V00017E</t>
  </si>
  <si>
    <t>Пульт для LG 6710V00017F</t>
  </si>
  <si>
    <t>Пульт для LG 6710V00017H</t>
  </si>
  <si>
    <t>Пульт для LG 6710V00070A</t>
  </si>
  <si>
    <t>Пульт для LG 6710V00070A (ic)</t>
  </si>
  <si>
    <t>Пульт для LG 6710V00070B</t>
  </si>
  <si>
    <t>Пульт для LG 6710V00090A</t>
  </si>
  <si>
    <t>Пульт для LG 6710V00090A (ic)</t>
  </si>
  <si>
    <t>Пульт для LG 6710V00090B</t>
  </si>
  <si>
    <t>Пульт для LG 6710V00090D</t>
  </si>
  <si>
    <t>Пульт для LG 6710V00090D (ic)</t>
  </si>
  <si>
    <t>Пульт для LG 6710V00090F, 6710V00090A</t>
  </si>
  <si>
    <t>Пульт для LG 6710V00112P</t>
  </si>
  <si>
    <t>Пульт для LG 6710V00112Q</t>
  </si>
  <si>
    <t>Пульт для LG 6710V00112V with PIP</t>
  </si>
  <si>
    <t>Пульт для LG 6710V00112V with PIP (ic)</t>
  </si>
  <si>
    <t>Пульт для LG 6710V00124D, MKJ61608507</t>
  </si>
  <si>
    <t>Пульт для LG 6710V00124D, MKJ61608507 (ic)</t>
  </si>
  <si>
    <t>Пульт для LG 6710V00124E (ic),   HYUNDAI HLCD3205</t>
  </si>
  <si>
    <t>Пульт для LG 6710V00124E,   HYUNDAI HLCD3205</t>
  </si>
  <si>
    <t>Пульт для LG 6710V00124V (ic)</t>
  </si>
  <si>
    <t>Пульт для LG 6710V00124Y (ic)</t>
  </si>
  <si>
    <t>Пульт для LG 6710V00145J 29FS6, 29FU3, 29FS4</t>
  </si>
  <si>
    <t>Пульт для LG AKB33871407 (ic)</t>
  </si>
  <si>
    <t>Пульт для LG AKB33871408 (ic)</t>
  </si>
  <si>
    <t>Пульт для LG AKB33871410 (ic)</t>
  </si>
  <si>
    <t>PLASMA</t>
  </si>
  <si>
    <t>Пульт для LG AKB69680403 (ic)  AKB69680438</t>
  </si>
  <si>
    <t>Пульт для LG AKB69680403, AKB69680438</t>
  </si>
  <si>
    <t>Пульт для LG AKB72914018 (ic)</t>
  </si>
  <si>
    <t>Пульт для LG AKB72914020 3D (ic)</t>
  </si>
  <si>
    <t>Пульт для LG AKB72914021 (ic)</t>
  </si>
  <si>
    <t>Пульт для LG AKB72914208 (ic)</t>
  </si>
  <si>
    <t>Пульт для LG AKB72914245 3D (ic)</t>
  </si>
  <si>
    <t>Пульт для LG AKB72914265, AKB72914209 (ic)</t>
  </si>
  <si>
    <t>Пульт для LG AKB72914271 3D (ic)</t>
  </si>
  <si>
    <t>Пульт для LG AKB72914278 3D (ic)</t>
  </si>
  <si>
    <t>Пульт для LG AKB72914293 (ic)</t>
  </si>
  <si>
    <t>Пульт для LG AKB72915207 (ic)</t>
  </si>
  <si>
    <t>Пульт для LG AKB72915210 (ic)</t>
  </si>
  <si>
    <t>Пульт для LG AKB72915244, AKB72915236</t>
  </si>
  <si>
    <t>Пульт для LG AKB72915244, AKB72915236 (ic)</t>
  </si>
  <si>
    <t>Пульт для LG AKB72915279 (ic)</t>
  </si>
  <si>
    <t>Пульт для LG AKB73275605 (ic)</t>
  </si>
  <si>
    <t>Пульт для LG AKB73275612 3D (ic)</t>
  </si>
  <si>
    <t>Пульт для LG AKB73615303, AKB73615362 (ic)</t>
  </si>
  <si>
    <t>Пульт для LG AKB73615307 (ic)</t>
  </si>
  <si>
    <t>Пульт для LG AKB73655822 (ic), AKB73655802</t>
  </si>
  <si>
    <t>Пульт для LG AKB73715601 SMART TV</t>
  </si>
  <si>
    <t>Пульт для LG AKB73715601 SMART TV (ic)</t>
  </si>
  <si>
    <t>Пульт для LG AKB73715603</t>
  </si>
  <si>
    <t>Пульт для LG AKB73715603 (ic)</t>
  </si>
  <si>
    <t>Пульт для LG AKB73715622 (ic)</t>
  </si>
  <si>
    <t>Пульт для LG AKB73715669 (ic) SMART TV, 3D</t>
  </si>
  <si>
    <t>Пульт для LG AKB73715669 SMART TV, 3D</t>
  </si>
  <si>
    <t>Пульт для LG AKB73715686 (ic)</t>
  </si>
  <si>
    <t>Пульт для LG AKB73715694 3D (ic)</t>
  </si>
  <si>
    <t>Пульт для LG AKB73756502 (ic) SMART TV, 3D</t>
  </si>
  <si>
    <t>Пульт для LG AKB73756504, AKB73756502 (ic)SMART TV, ЗD</t>
  </si>
  <si>
    <t>Пульт для LG AKB73756559 (ic)   SMART TV</t>
  </si>
  <si>
    <t>Пульт для LG AKB73756571 (ic)  SMART TV</t>
  </si>
  <si>
    <t>Пульт для LG AKB73975729 (ic) SMART TV, 3D</t>
  </si>
  <si>
    <t>Пульт для LG AKB73975757 (ic) SMART TV</t>
  </si>
  <si>
    <t>Пульт для LG AKB73975761 (ic) SMART TV, 3D</t>
  </si>
  <si>
    <t>Пульт для LG AKB73975761 SMART TV, 3D</t>
  </si>
  <si>
    <t>Пульт для LG AKB73975786 (ic)</t>
  </si>
  <si>
    <t>Пульт для LG AKB74455403 (ic)   SMART TV, 3D</t>
  </si>
  <si>
    <t>Пульт для LG AKB74455403 SMART TV 3D</t>
  </si>
  <si>
    <t>Пульт для LG AKB74475404 (ic) SMART TV</t>
  </si>
  <si>
    <t>Пульт для LG AKB74475481 (ic) SMART TV</t>
  </si>
  <si>
    <t>Пульт для LG AKB74475490 (ic) SMART TV</t>
  </si>
  <si>
    <t>Пульт для LG AKB74915324 (ic) SMART TV</t>
  </si>
  <si>
    <t>Пульт для LG AKB74915325 (ic) SMART TV</t>
  </si>
  <si>
    <t>Пульт для LG AKB74915330 (ic) AKB74915324 SMART TV</t>
  </si>
  <si>
    <t>Пульт для LG AKB74915346 (ic) SMART TV</t>
  </si>
  <si>
    <t>Пульт для LG AKB74915365 (ic) white</t>
  </si>
  <si>
    <t>Пульт для LG AKB75055702 (ic) SMART TV, 3D</t>
  </si>
  <si>
    <t>Пульт для LG AKB75095312, AKB75375611 (ic) ivi</t>
  </si>
  <si>
    <t>Пульт для LG MKJ30036802 (ic)</t>
  </si>
  <si>
    <t>Пульт для LG MKJ32816601</t>
  </si>
  <si>
    <t>Пульт для LG MKJ33981404</t>
  </si>
  <si>
    <t>Пульт для LG MKJ33981404 (ic)</t>
  </si>
  <si>
    <t>Пульт для LG MKJ37815701 (ic)</t>
  </si>
  <si>
    <t>Пульт для LG MKJ37815705 (ic)</t>
  </si>
  <si>
    <t>Пульт для LG MKJ37815715 (ic)</t>
  </si>
  <si>
    <t>Пульт для LG MKJ61841804 (ic)</t>
  </si>
  <si>
    <t>Пульт для LIBERTON 2400-EDR0LIBR (ic)</t>
  </si>
  <si>
    <t>Пульт для LIBERTON EP-22, ORION LCD2623, DEX RC-E23 (ic)</t>
  </si>
  <si>
    <t>Пульт для LIBERTON RС166L, MEREDIAN, TCL (ic)</t>
  </si>
  <si>
    <t>Пульт для LIBERTY LD-3220 (ic),  RS41C0, AKAI UA32DF2110T2</t>
  </si>
  <si>
    <t>Пульт для MEREDIAN LCD-530, NOKASONIC LCD 838</t>
  </si>
  <si>
    <t>Пульт для MEREDIAN RC3000E02 (ic),  TCL RC2000E02</t>
  </si>
  <si>
    <t>Пульт для MEREDIAN RC-915, SHIVAKI, TRONY (ic)</t>
  </si>
  <si>
    <t>Пульт для MEREDIAN RC-916, SHIVAKI, TRONY (ic)</t>
  </si>
  <si>
    <t>Пульт для MIRTA LD-32T2HDS</t>
  </si>
  <si>
    <t>Пульт для MITSUBISHI RM07901</t>
  </si>
  <si>
    <t>Пульт для MYOTA LCD TV</t>
  </si>
  <si>
    <t>Пульт для MYOTA LCD TV 151 C/E/P</t>
  </si>
  <si>
    <t>Пульт для MYOTA LCD TV 161 LANG WIDE</t>
  </si>
  <si>
    <t>Пульт для MYOTA, BEHOLD, CHINA TV RC-005 silver</t>
  </si>
  <si>
    <t>Пульт для MYSTERY HOF50D12,MTV-3205W,MTV-2605W(ic)</t>
  </si>
  <si>
    <t>Пульт для MYSTERY KT6957, MTV-3206W,MTV-1906W (ic)</t>
  </si>
  <si>
    <t>Пульт для MYSTERY LCD TV6, HYUNDAI H-LCD1916 (ic)</t>
  </si>
  <si>
    <t>Пульт для MYSTERY MTV-1915WD (ic)</t>
  </si>
  <si>
    <t>Пульт для MYSTERY MTV-2622LW (ic)</t>
  </si>
  <si>
    <t>Пульт для MYSTERY MTV-3224LT2 REC (ic),  JVC</t>
  </si>
  <si>
    <t>Пульт для NOKASONIC DNS-119T, OPERA OP-1255, WOKSTER W-340</t>
  </si>
  <si>
    <t>Пульт для NOKASONIC LCD 838, DEX LT1501, LE2200</t>
  </si>
  <si>
    <t>Пульт для NOKASONIC LCD-15</t>
  </si>
  <si>
    <t>Пульт для NOKASONIC NS-1505</t>
  </si>
  <si>
    <t>Пульт для NOMI 2300-EP0BNM (ic)</t>
  </si>
  <si>
    <t>Пульт для ONIDA RC115/A</t>
  </si>
  <si>
    <t>Пульт для ONWA 090-390303, RC 51A (ic)</t>
  </si>
  <si>
    <t>Пульт для OPERA OP-1026</t>
  </si>
  <si>
    <t>Пульт для OPERA OP-1280D</t>
  </si>
  <si>
    <t>Пульт для OPERA OP-1680D</t>
  </si>
  <si>
    <t>Пульт для OPERA OP-707C</t>
  </si>
  <si>
    <t>Пульт для OPERA VT-1202BK</t>
  </si>
  <si>
    <t>Пульт для ORION 076L052040</t>
  </si>
  <si>
    <t>Пульт для ORION 076L056150</t>
  </si>
  <si>
    <t>Пульт для ORION 076L067070</t>
  </si>
  <si>
    <t>Пульт для ORION 076L078090</t>
  </si>
  <si>
    <t>Пульт для ORION 076N0GE030</t>
  </si>
  <si>
    <t>Пульт для ORION 076RAP010</t>
  </si>
  <si>
    <t>Пульт для ORION 076ROBR010</t>
  </si>
  <si>
    <t>Пульт для ORION 076ROBR020, MATSUI LCD42P90</t>
  </si>
  <si>
    <t>Пульт для ORION KJ-PHEA2-44, ROTEX RS09-8891A, WEST K-8891A (ic)</t>
  </si>
  <si>
    <t>Пульт для ORION LCD2020, XORO HTC2003</t>
  </si>
  <si>
    <t>LCD+DVD</t>
  </si>
  <si>
    <t>Пульт для ORION LED1541 (ic)</t>
  </si>
  <si>
    <t>Пульт для ORION LED2643 (ic)</t>
  </si>
  <si>
    <t>Пульт для ORION LT-002A (ic)</t>
  </si>
  <si>
    <t>Пульт для ORION OLT-28202 (ic)</t>
  </si>
  <si>
    <t>Пульт для ORION OR-LCD1, LCD2016 (ic)</t>
  </si>
  <si>
    <t>Пульт для ORION OR-LCD2 input LCD1922 (ic)</t>
  </si>
  <si>
    <t>Пульт для ORION PT2461-103</t>
  </si>
  <si>
    <t>Пульт для ORION PT2461-103 (ic)</t>
  </si>
  <si>
    <t>Пульт для ORION RC2028 LCD1919, ORION RC-E22</t>
  </si>
  <si>
    <t>Пульт для ORION RC-544 ARVIN, TOSHIN (ic)</t>
  </si>
  <si>
    <t>Пульт для ORION RC-5691 T2188MJ</t>
  </si>
  <si>
    <t>Пульт для ORION RC-R02, R10-0A, RC-R016A PRIMA (ic)</t>
  </si>
  <si>
    <t>Пульт для ORION RCS21-0C</t>
  </si>
  <si>
    <t>Пульт для ORION RS41C0 PLAY-PAUSE (OLT-30100) (ic)</t>
  </si>
  <si>
    <t>Пульт для ORION SPP1437 (ic)</t>
  </si>
  <si>
    <t>Пульт для ORION SPP2932FL</t>
  </si>
  <si>
    <t>Пульт для ORION WH-9012</t>
  </si>
  <si>
    <t>Пульт для ORION-KONKA RC-OR SPP1424, 1525, 2124F,2126F</t>
  </si>
  <si>
    <t>Пульт для OZONE 32HN82T2, 39HN82T2</t>
  </si>
  <si>
    <t>Пульт для PANASONIC EUR501310</t>
  </si>
  <si>
    <t>Пульт для PANASONIC EUR501310 (ic)</t>
  </si>
  <si>
    <t>Пульт для PANASONIC EUR501325</t>
  </si>
  <si>
    <t>Пульт для PANASONIC EUR501325 (ic)</t>
  </si>
  <si>
    <t>Пульт для PANASONIC EUR501380</t>
  </si>
  <si>
    <t>Пульт для PANASONIC EUR501380 (ic)</t>
  </si>
  <si>
    <t>Пульт для PANASONIC EUR501380 (ic) gray</t>
  </si>
  <si>
    <t>Пульт для PANASONIC EUR501390</t>
  </si>
  <si>
    <t>Пульт для PANASONIC EUR50701/2/3</t>
  </si>
  <si>
    <t>Пульт для PANASONIC EUR511300</t>
  </si>
  <si>
    <t>Пульт для PANASONIC EUR51912</t>
  </si>
  <si>
    <t>Пульт для PANASONIC EUR51931 clock</t>
  </si>
  <si>
    <t>Пульт для PANASONIC EUR51970 surround</t>
  </si>
  <si>
    <t>Пульт для PANASONIC EUR646925 (ic)</t>
  </si>
  <si>
    <t>TV,DVD</t>
  </si>
  <si>
    <t>Пульт для PANASONIC EUR7635040 (ic)</t>
  </si>
  <si>
    <t>Пульт для PANASONIC EUR7635050 (ic)</t>
  </si>
  <si>
    <t>Пульт для PANASONIC EUR7651030A (ic)</t>
  </si>
  <si>
    <t>Пульт для PANASONIC EUR7651150 TV, EUR7651110 (ic)</t>
  </si>
  <si>
    <t>Пульт для PANASONIC EUR7717010</t>
  </si>
  <si>
    <t>Пульт для PANASONIC EUR7717010 (ic)</t>
  </si>
  <si>
    <t>Пульт для PANASONIC EUR7717030</t>
  </si>
  <si>
    <t>Пульт для PANASONIC N2QAJB0000109</t>
  </si>
  <si>
    <t>Пульт для PANASONIC N2QAJB000080 (ic)</t>
  </si>
  <si>
    <t>Пульт для PANASONIC N2QAJB000108, TX-29F250T (ic)</t>
  </si>
  <si>
    <t>LCD,DVD</t>
  </si>
  <si>
    <t>Пульт для PANASONIC N2QAJB000124 (ic)</t>
  </si>
  <si>
    <t>Пульт для PANASONIC N2QAYB000399 N2QAYB000370 (ic)</t>
  </si>
  <si>
    <t>Пульт для PANASONIC N2QAYB000485 (ic)</t>
  </si>
  <si>
    <t>Пульт для PANASONIC N2QAYB000487 (ic) N2QAYB000666</t>
  </si>
  <si>
    <t>Пульт для PANASONIC N2QAYB000543 (ic)</t>
  </si>
  <si>
    <t>Пульт для PANASONIC N2QAYB000572 3D (ic)</t>
  </si>
  <si>
    <t>Пульт для PANASONIC N2QAYB000604 (ic)</t>
  </si>
  <si>
    <t>Пульт для PANASONIC N2QAYB000752 3D (ic)</t>
  </si>
  <si>
    <t>Пульт для PANASONIC N2QAYB000803 with USB (ic)</t>
  </si>
  <si>
    <t>Пульт для PANASONIC N2QAYB000815 (ic)</t>
  </si>
  <si>
    <t>Пульт для PANASONIC SBAR20026A-3</t>
  </si>
  <si>
    <t>Пульт для PANASONIC TNQ2636</t>
  </si>
  <si>
    <t>Пульт для PANASONIC TNQ2637, EUR51246</t>
  </si>
  <si>
    <t>Пульт для PANASONIC TNQ4G0401</t>
  </si>
  <si>
    <t>Пульт для PANASONIC TNQ4G0402</t>
  </si>
  <si>
    <t>Пульт для PANASONIC TNQ4G0403</t>
  </si>
  <si>
    <t>Пульт для PANASONIC TNQ4G0403 (ic)</t>
  </si>
  <si>
    <t>Пульт для PANASONIC TNQ8E461-2</t>
  </si>
  <si>
    <t>Пульт для PATRIOT RC02-35</t>
  </si>
  <si>
    <t>Пульт для PATRIOT RC02-36</t>
  </si>
  <si>
    <t>Пульт для PHILIPS 2422 549 01833 RC2143604/01 (ic)</t>
  </si>
  <si>
    <t>Пульт для PHILIPS 2422 549 01834 RCPF05E08B (ic)</t>
  </si>
  <si>
    <t>Пульт для PHILIPS 2422 549 01911</t>
  </si>
  <si>
    <t>Пульт для PHILIPS 2422 549 02314 (ic)</t>
  </si>
  <si>
    <t>Пульт для PHILIPS 2422 549 02454 (ic)HPH178</t>
  </si>
  <si>
    <t>Пульт для PHILIPS 2422 549 02543, RC2683203/01 (ic)</t>
  </si>
  <si>
    <t>Пульт для PHILIPS 2422 549 90301 (ic)</t>
  </si>
  <si>
    <t>Пульт для PHILIPS 2422 549 90416 (ic)</t>
  </si>
  <si>
    <t>Пульт для PHILIPS 2422 549 90467, YKF309-001 (ic)</t>
  </si>
  <si>
    <t>Пульт для PHILIPS 2422 549 90477, YKF314-001 3D(ic)</t>
  </si>
  <si>
    <t>Пульт для PHILIPS 9965 900 00449, YKF308-001 (ic)</t>
  </si>
  <si>
    <t>Пульт для PHILIPS RC 9965 900 03112 (ic)</t>
  </si>
  <si>
    <t>Пульт для PHILIPS RC-0301/01</t>
  </si>
  <si>
    <t>Пульт для PHILIPS RC-0301/01 (ic)</t>
  </si>
  <si>
    <t>Пульт для PHILIPS RC-0770/01</t>
  </si>
  <si>
    <t>Пульт для PHILIPS RC-0770/01 (ic)</t>
  </si>
  <si>
    <t>Пульт для PHILIPS RC-1683801/01 (ic)</t>
  </si>
  <si>
    <t>Пульт для PHILIPS RC-19039001 radio с VCR</t>
  </si>
  <si>
    <t>Пульт для PHILIPS RC-19039001 radio с VCR (ic)</t>
  </si>
  <si>
    <t>Пульт для PHILIPS RC-19039001/01 radio</t>
  </si>
  <si>
    <t>Пульт для PHILIPS RC-19042001</t>
  </si>
  <si>
    <t>Пульт для PHILIPS RC-19042006/01</t>
  </si>
  <si>
    <t>Пульт для PHILIPS RC-19042008/01</t>
  </si>
  <si>
    <t>Пульт для PHILIPS RC-19335003/01 (ic)</t>
  </si>
  <si>
    <t>Пульт для PHILIPS RC-19335005/01</t>
  </si>
  <si>
    <t>Пульт для PHILIPS RC-19335010/01</t>
  </si>
  <si>
    <t>Пульт для PHILIPS RC-19335014/01</t>
  </si>
  <si>
    <t>Пульт для PHILIPS RC-2023601/01 (ic)</t>
  </si>
  <si>
    <t>Пульт для PHILIPS RC-2023617/01</t>
  </si>
  <si>
    <t>Пульт для PHILIPS RC-2023617/01 (ic)</t>
  </si>
  <si>
    <t>Пульт для PHILIPS RC-2034301/01 (ic)</t>
  </si>
  <si>
    <t>Пульт для PHILIPS RC-2034312/01 ambilight (ic)</t>
  </si>
  <si>
    <t>Пульт для PHILIPS RC-21</t>
  </si>
  <si>
    <t>Пульт для PHILIPS RC-2543/01, RC-2525/01</t>
  </si>
  <si>
    <t>Пульт для PHILIPS RC-2683204/01 (ic)</t>
  </si>
  <si>
    <t>Пульт для PHILIPS RC-2835/01</t>
  </si>
  <si>
    <t>Пульт для PHILIPS RC-2835/01 (ic)</t>
  </si>
  <si>
    <t>Пульт для PHILIPS RC-28350</t>
  </si>
  <si>
    <t>Пульт для PHILIPS RC-4331/01, RC-4344/01 RC-4301</t>
  </si>
  <si>
    <t>Пульт для PHILIPS RC-4346/01B</t>
  </si>
  <si>
    <t>Пульт для PHILIPS RC-4401/01, RC-4701/01</t>
  </si>
  <si>
    <t>Пульт для PHILIPS RC-4450/01</t>
  </si>
  <si>
    <t>Пульт для PHILIPS RC-7535/01</t>
  </si>
  <si>
    <t>Пульт для PHILIPS RC-7802</t>
  </si>
  <si>
    <t>Пульт для PHILIPS RC-8205/01</t>
  </si>
  <si>
    <t>Пульт для PHILIPS RC-8205/01 (ic)</t>
  </si>
  <si>
    <t>Пульт для PHILIPS RC-8927/01</t>
  </si>
  <si>
    <t>Пульт для PHILIPS RC9965 900 09443 (ic)</t>
  </si>
  <si>
    <t>Пульт для PHILIPS RC9965 900 09748 SMART TV (ic)</t>
  </si>
  <si>
    <t>Пульт для PHILIPS SAA3010T</t>
  </si>
  <si>
    <t>Пульт для PHILIPS SBC RP520, RC520</t>
  </si>
  <si>
    <t>Пульт для PIONEER AXD1552 (ic)</t>
  </si>
  <si>
    <t>Пульт для POLAR 48LTV3101, 81LTV3101 (ic)</t>
  </si>
  <si>
    <t>Пульт для POLAR 8897 GENERAL ELENBERG CAMERON (ic)</t>
  </si>
  <si>
    <t>Пульт для POLAR 94LTV6004 (ic)</t>
  </si>
  <si>
    <t>Пульт для POLAR HTR-D18A (ic)</t>
  </si>
  <si>
    <t>Пульт для POLAR RC05-51 (ic)</t>
  </si>
  <si>
    <t>Пульт для POLAR RC-2101МС, TV14A23</t>
  </si>
  <si>
    <t>Пульт для POLAR RC-2201, TV29B24 BBE</t>
  </si>
  <si>
    <t>Пульт для POLAR RC-28 (ic)</t>
  </si>
  <si>
    <t>Пульт для RAINFORD - 55E (E-55), 70E (E-70)</t>
  </si>
  <si>
    <t>Пульт для RAINFORD - 70E (E-70), 55E (E-55)</t>
  </si>
  <si>
    <t>Пульт для RAINFORD 1045</t>
  </si>
  <si>
    <t>Пульт для RAINFORD 1045 (ic)</t>
  </si>
  <si>
    <t>Пульт для RAINFORD 1940</t>
  </si>
  <si>
    <t>Пульт для RAINFORD 1940 (ic)</t>
  </si>
  <si>
    <t>Пульт для RAINFORD 1CE3 black</t>
  </si>
  <si>
    <t>Пульт для RAINFORD 2040 black (ic)</t>
  </si>
  <si>
    <t>Пульт для RAINFORD 2040 gr/bl (ic) medium case</t>
  </si>
  <si>
    <t>Пульт для RAINFORD 2040 grey</t>
  </si>
  <si>
    <t>Пульт для RAINFORD 2240</t>
  </si>
  <si>
    <t>Пульт для RAINFORD HX-T07, ELECTRON Rc02-R6+ (ic)</t>
  </si>
  <si>
    <t>Пульт для RAINFORD OVAL 9012 RC-224 black</t>
  </si>
  <si>
    <t>Пульт для RAINFORD RC-1241 (ic)</t>
  </si>
  <si>
    <t>Пульт для RAINFORD RC-1241 BIG CASE</t>
  </si>
  <si>
    <t>Пульт для RAINFORD RC-2000 white</t>
  </si>
  <si>
    <t>Пульт для RAINFORD RC-332CLR TFT2668SAC TFT3268SAC</t>
  </si>
  <si>
    <t>Пульт для RAINFORD RC-5010-11, VESTEL, GOODMANS LCD 21'</t>
  </si>
  <si>
    <t>Пульт для RAINFORD RM-112, N NEXT</t>
  </si>
  <si>
    <t>Пульт для RAINFORD RM-112, N NEXT (ic)</t>
  </si>
  <si>
    <t>Пульт для RAINFORD RP-010</t>
  </si>
  <si>
    <t>Пульт для RAINFORD SF-148, SATURN, ELECTRON корпусVIDIMAX 3004</t>
  </si>
  <si>
    <t>Пульт для RC-5/F РЫБКА</t>
  </si>
  <si>
    <t>Пульт для RC-6</t>
  </si>
  <si>
    <t>Пульт для RC-6 mini</t>
  </si>
  <si>
    <t>Пульт для RC-6 mini (ic)</t>
  </si>
  <si>
    <t>Пульт для REKORD G1, ELECTRON 6-ого поколения</t>
  </si>
  <si>
    <t>Пульт для REKORD RC02-51, GENERAL (ic)</t>
  </si>
  <si>
    <t>Пульт для REKORD RC-514, FEB-2000, AMCOL 2121, SCARLETT SC-TV2106 (ic)</t>
  </si>
  <si>
    <t>Пульт для ROLSEN A205-P (ic)</t>
  </si>
  <si>
    <t>Пульт для ROLSEN EN-31603B (ic)</t>
  </si>
  <si>
    <t>Пульт для ROLSEN ER-31607R (ic)</t>
  </si>
  <si>
    <t>Пульт для ROLSEN K10B-C1</t>
  </si>
  <si>
    <t>Пульт для ROLSEN K10J-C1</t>
  </si>
  <si>
    <t>Пульт для ROLSEN K10N-C1</t>
  </si>
  <si>
    <t>Пульт для ROLSEN K10N-C5, AKIRA K10N-C19 (ic)</t>
  </si>
  <si>
    <t>Пульт для ROLSEN K12D-C2, K12D-C16 (ic)</t>
  </si>
  <si>
    <t>Пульт для ROLSEN KEX1D-C22 C55 C6 C23 C84 ELECTRON, AVEST</t>
  </si>
  <si>
    <t>Пульт для ROLSEN NEW, WH-55A-3</t>
  </si>
  <si>
    <t>Пульт для ROLSEN RL-19E1301GU (ic)</t>
  </si>
  <si>
    <t>Пульт для ROLSEN RL-32L700U 3D (ic)</t>
  </si>
  <si>
    <t>Пульт для ROLSEN WH-55A, ORION, BRAVIS</t>
  </si>
  <si>
    <t>Пульт для ROMSAT 22HMC1720, 32HMC1720T2 (ic)</t>
  </si>
  <si>
    <t>Пульт для ROMSAT 24H0052 (ic)</t>
  </si>
  <si>
    <t>Пульт для ROMSAT 32HK1810T2 (ic)</t>
  </si>
  <si>
    <t>Пульт для ROMSAT 32HX1850T2</t>
  </si>
  <si>
    <t>Пульт для RUBIN 37M10-6, IZUMI, ROLSEN, CHINA TV (ic)</t>
  </si>
  <si>
    <t>Пульт для RUBIN RC-500</t>
  </si>
  <si>
    <t>Пульт для RUBIN RC-500 TXT</t>
  </si>
  <si>
    <t>Пульт для RUBIN WH-43D102, NOVEX (ic)</t>
  </si>
  <si>
    <t>Пульт для SAMSUNG 3F14-00034-162</t>
  </si>
  <si>
    <t>Пульт для SAMSUNG 3F14-00034-162 (ic)</t>
  </si>
  <si>
    <t>Пульт для SAMSUNG 3F14-00034-490</t>
  </si>
  <si>
    <t>Пульт для SAMSUNG 3F14-00034-A10</t>
  </si>
  <si>
    <t>Пульт для SAMSUNG 3F14-00038-242</t>
  </si>
  <si>
    <t>Пульт для SAMSUNG 3F14-00038-300</t>
  </si>
  <si>
    <t>Пульт для SAMSUNG 3F14-00038-321</t>
  </si>
  <si>
    <t>Пульт для SAMSUNG 3F14-00038-450</t>
  </si>
  <si>
    <t>Пульт для SAMSUNG 3F14-00040-060 (ic)</t>
  </si>
  <si>
    <t>Пульт для SAMSUNG AA59-00104D</t>
  </si>
  <si>
    <t>Пульт для SAMSUNG AA59-00104D (ic)</t>
  </si>
  <si>
    <t>Пульт для SAMSUNG AA59-00104N (ic),   AA59-00198G</t>
  </si>
  <si>
    <t>Пульт для SAMSUNG AA59-00104N, AA59-00198G</t>
  </si>
  <si>
    <t>Пульт для SAMSUNG AA59-00198A, AA59-00104C</t>
  </si>
  <si>
    <t>Пульт для SAMSUNG AA59-00198B</t>
  </si>
  <si>
    <t>Пульт для SAMSUNG AA59-00198D</t>
  </si>
  <si>
    <t>Пульт для SAMSUNG AA59-00198D (ic)</t>
  </si>
  <si>
    <t>Пульт для SAMSUNG AA59-00198F</t>
  </si>
  <si>
    <t>Пульт для SAMSUNG AA59-00198F (ic)</t>
  </si>
  <si>
    <t>Пульт для SAMSUNG AA59-00198G (ic),   AA59-00104N</t>
  </si>
  <si>
    <t>Пульт для SAMSUNG AA59-00198G, AA59-00104N</t>
  </si>
  <si>
    <t>Пульт для SAMSUNG AA59-00198H</t>
  </si>
  <si>
    <t>Пульт для SAMSUNG AA59-00332A, AA59-00332F</t>
  </si>
  <si>
    <t>Пульт для SAMSUNG AA59-00332A, AA59-00332F (ic)</t>
  </si>
  <si>
    <t>Пульт для SAMSUNG AA59-00332D</t>
  </si>
  <si>
    <t>Пульт для SAMSUNG AA59-00332D (ic)</t>
  </si>
  <si>
    <t>Пульт для SAMSUNG AA59-00357B</t>
  </si>
  <si>
    <t>Пульт для SAMSUNG AA59-00370A</t>
  </si>
  <si>
    <t>Пульт для SAMSUNG AA59-00370A (ic)</t>
  </si>
  <si>
    <t>Пульт для SAMSUNG AA59-00370B</t>
  </si>
  <si>
    <t>Пульт для SAMSUNG AA59-00370B (ic)</t>
  </si>
  <si>
    <t>Пульт для SAMSUNG AA59-00382A NOC short case</t>
  </si>
  <si>
    <t>Пульт для SAMSUNG AA59-00401B</t>
  </si>
  <si>
    <t>Пульт для SAMSUNG AA59-00401C</t>
  </si>
  <si>
    <t>Пульт для SAMSUNG AA59-00401C (ic)</t>
  </si>
  <si>
    <t>Пульт для SAMSUNG AA59-00483A (ic)</t>
  </si>
  <si>
    <t>Пульт для SAMSUNG AA59-00484A (ic)</t>
  </si>
  <si>
    <t>Пульт для SAMSUNG AA59-00507A SMART TV, 3D (ic)HDMI</t>
  </si>
  <si>
    <t>Пульт для SAMSUNG AA59-00581A SMART TV, 3D</t>
  </si>
  <si>
    <t>Пульт для SAMSUNG AA59-00581A SMART TV, 3D (ic)</t>
  </si>
  <si>
    <t>Пульт для SAMSUNG AA59-00582A (ic)</t>
  </si>
  <si>
    <t>Пульт для SAMSUNG AA59-00602A (ic) TM1240</t>
  </si>
  <si>
    <t>Пульт для SAMSUNG AA59-00603A 3D</t>
  </si>
  <si>
    <t>Пульт для SAMSUNG AA59-00603A 3D (ic) TM1240+3D</t>
  </si>
  <si>
    <t>Пульт для SAMSUNG AA59-00630A 3D, on/off (ic)</t>
  </si>
  <si>
    <t>Пульт для SAMSUNG AA59-00741A</t>
  </si>
  <si>
    <t>Пульт для SAMSUNG AA59-00741A (ic)</t>
  </si>
  <si>
    <t>Пульт для SAMSUNG AA59-00742A (ic)</t>
  </si>
  <si>
    <t>Пульт для SAMSUNG AA59-00743A 3D (ic)</t>
  </si>
  <si>
    <t>Пульт для SAMSUNG AA59-00786A, BN59-01175N (ic)</t>
  </si>
  <si>
    <t>Пульт для SAMSUNG AA59-00818A 3D  (ic)</t>
  </si>
  <si>
    <t>Пульт для SAMSUNG AA59-00823A         (ic)</t>
  </si>
  <si>
    <t>Пульт для SAMSUNG AA59-10031Q, AA59-10031F</t>
  </si>
  <si>
    <t>Пульт для SAMSUNG AA59-10032W</t>
  </si>
  <si>
    <t>Пульт для SAMSUNG AA59-10075J = AA59-10107J</t>
  </si>
  <si>
    <t>Пульт для SAMSUNG AA59-10075K</t>
  </si>
  <si>
    <t>Пульт для SAMSUNG AA59-10075L</t>
  </si>
  <si>
    <t>Пульт для SAMSUNG AA59-10081F/Q, AA59-10031Q</t>
  </si>
  <si>
    <t>Пульт для SAMSUNG AA59-10081F/Q, AA59-10031Q (ic)</t>
  </si>
  <si>
    <t>Пульт для SAMSUNG AA59-10107C</t>
  </si>
  <si>
    <t>Пульт для SAMSUNG AA59-10107N</t>
  </si>
  <si>
    <t>Пульт для SAMSUNG AA59-10107N (ic)</t>
  </si>
  <si>
    <t>Пульт для SAMSUNG AA59-10116A, HAIER HTR-039</t>
  </si>
  <si>
    <t>Пульт для SAMSUNG BN59-00512A (ic)</t>
  </si>
  <si>
    <t>Пульт для SAMSUNG BN59-00555A (ic)</t>
  </si>
  <si>
    <t>Пульт для SAMSUNG BN59-00685A (ic) HDMI</t>
  </si>
  <si>
    <t>Пульт для SAMSUNG BN59-00862A (ic)</t>
  </si>
  <si>
    <t>Пульт для SAMSUNG BN59-00865A (ic)</t>
  </si>
  <si>
    <t>Пульт для SAMSUNG BN59-00938A (ic)</t>
  </si>
  <si>
    <t>Пульт для SAMSUNG BN59-01005A (ic)</t>
  </si>
  <si>
    <t>Пульт для SAMSUNG BN59-01014A BN59-01081A (ic)</t>
  </si>
  <si>
    <t>Пульт для SAMSUNG BN59-01039A (ic)</t>
  </si>
  <si>
    <t>Пульт для SAMSUNG BN59-01040A 3D (ic)</t>
  </si>
  <si>
    <t>Пульт для SAMSUNG BN59-01178B SMART TV (ic)</t>
  </si>
  <si>
    <t>Пульт для SAMSUNG BN59-01198C    (ic)</t>
  </si>
  <si>
    <t>Пульт для SAMSUNG BN59-01199G (ic)  SMART TV</t>
  </si>
  <si>
    <t>Пульт для SAMSUNG BN59-01268D, BN59-01303A  (ic)SMART TV</t>
  </si>
  <si>
    <t>Пульт для SAMSUNG BN59-01298G Smart Control</t>
  </si>
  <si>
    <t>Пульт для SAMSUNG BN59-01315B (ic) SMART TV,Netflix, Prime Video, Rakuten TV</t>
  </si>
  <si>
    <t>Пульт для SANYO 1AV0U10B00800</t>
  </si>
  <si>
    <t>Пульт для SANYO 1AVOU10B31200</t>
  </si>
  <si>
    <t>Пульт для SANYO 1LB4U10B00300</t>
  </si>
  <si>
    <t>Пульт для SANYO 4AA4U1T0064</t>
  </si>
  <si>
    <t>Пульт для SANYO RC 700A</t>
  </si>
  <si>
    <t>Пульт для SATURN 32HD300U   (ic)</t>
  </si>
  <si>
    <t>Пульт для SATURN 32HD400U (ic)</t>
  </si>
  <si>
    <t>Пульт для SATURN 40FHD700U T2 (ic)  LED32HD700U</t>
  </si>
  <si>
    <t>Пульт для SATURN AT025 (ic)</t>
  </si>
  <si>
    <t>Пульт для SATURN LCD-267, LCD-326 HONDA (ic)</t>
  </si>
  <si>
    <t>Пульт для SATURN LCD-322 H-LCD3210, BRAVIS</t>
  </si>
  <si>
    <t>Пульт для SATURN LCD-322 H-LCD3210, BRAVIS (ic)</t>
  </si>
  <si>
    <t>Пульт для SATURN LED19C (ic)  DIGITAL DL-32J85, SHIVAKI STV-32LED5, RS22-2</t>
  </si>
  <si>
    <t>Пульт для SATURN LED201, SUPRA RC21b (ic)</t>
  </si>
  <si>
    <t>Пульт для SATURN LED-321 (ic)</t>
  </si>
  <si>
    <t>Пульт для SATURN LED40FHD500U (ic) 32HD600U</t>
  </si>
  <si>
    <t>Пульт для SATURN LED40NF, SUPRA RC25b, FUSION (ic)</t>
  </si>
  <si>
    <t>Пульт для SATURN RC03S, TCL, DENKI</t>
  </si>
  <si>
    <t>Пульт для SATURN RMB1X thomson3, TCL, DENKI</t>
  </si>
  <si>
    <t>Пульт для SATURN RMB1X with DVB</t>
  </si>
  <si>
    <t>Пульт для SATURN RMB1X with SCAN, ALPARI 29E12PF</t>
  </si>
  <si>
    <t>Пульт для SATURN RMB1X2 thomson3 with SURROUND</t>
  </si>
  <si>
    <t>Пульт для SATURN ST-TV (ic)</t>
  </si>
  <si>
    <t>Пульт для SATURN TV370, ST HX-P12</t>
  </si>
  <si>
    <t>Пульт для SHARP 11UK-12 два кольца</t>
  </si>
  <si>
    <t>Пульт для SHARP G0756CE</t>
  </si>
  <si>
    <t>Пульт для SHARP G0764 PE</t>
  </si>
  <si>
    <t>Пульт для SHARP G1069PESA</t>
  </si>
  <si>
    <t>Пульт для SHARP G1077PESA</t>
  </si>
  <si>
    <t>Пульт для SHARP G1084PESA</t>
  </si>
  <si>
    <t>Пульт для SHARP G1085PESA</t>
  </si>
  <si>
    <t>Пульт для SHARP G1133PESA</t>
  </si>
  <si>
    <t>Пульт для SHARP G1133PESA (ic)</t>
  </si>
  <si>
    <t>Пульт для SHARP G1169PESA</t>
  </si>
  <si>
    <t>Пульт для SHARP G1170PESA (ic)</t>
  </si>
  <si>
    <t>Пульт для SHARP G1325SA</t>
  </si>
  <si>
    <t>Пульт для SHARP G1342SA</t>
  </si>
  <si>
    <t>Пульт для SHARP G1342SA (ic)</t>
  </si>
  <si>
    <t>Пульт для SHARP G1388SA</t>
  </si>
  <si>
    <t>Пульт для SHARP G1606SA (ic)</t>
  </si>
  <si>
    <t>Пульт для SHARP GA074WJSA (ic)</t>
  </si>
  <si>
    <t>Пульт для SHARP GA152WJSA (ic)</t>
  </si>
  <si>
    <t>Пульт для SHARP GA296SA GA590SB черный (ic)</t>
  </si>
  <si>
    <t>Пульт для SHARP GA307SA (ic)</t>
  </si>
  <si>
    <t>Пульт для SHARP GA339WJSA (ic)</t>
  </si>
  <si>
    <t>Пульт для SHARP GA372SA (ic)</t>
  </si>
  <si>
    <t>Пульт для SHARP GA411WJSB (ic)</t>
  </si>
  <si>
    <t>Пульт для SHARP GA574WJSA (ic)</t>
  </si>
  <si>
    <t>Пульт для SHARP GA779WJSA (ic)</t>
  </si>
  <si>
    <t>Пульт для SHARP GA983WJSA 3D (ic)</t>
  </si>
  <si>
    <t>Пульт для SHARP GB012WJSA 3D (ic)  GA983WJSA</t>
  </si>
  <si>
    <t>Пульт для SHARP GB067WJSA 3D (ic)</t>
  </si>
  <si>
    <t>Пульт для SHARP LC-32CHE4040E (ic)</t>
  </si>
  <si>
    <t>Пульт для SHARP LCDTV GJ210 (ic)</t>
  </si>
  <si>
    <t>Пульт для SHARP RC-1910</t>
  </si>
  <si>
    <t>Пульт для SHARP RC-1910 (ic)</t>
  </si>
  <si>
    <t>Пульт для SHARP RC1912 (ic) RC-1910, ERGO LE19M3W</t>
  </si>
  <si>
    <t>Пульт для SHARP RC-5112 (ic)</t>
  </si>
  <si>
    <t>Пульт для SHARP RL57S (ic)</t>
  </si>
  <si>
    <t>Пульт для SHARP SHWRMC0115  (ic)  Netflix, YouTube</t>
  </si>
  <si>
    <t>Пульт для SHIVAKI BT0534 (ic)</t>
  </si>
  <si>
    <t>Пульт для SHIVAKI HI VISION, STV-208</t>
  </si>
  <si>
    <t>Пульт для SHIVAKI LCD-831, GENERAL LCD-831 (ic)</t>
  </si>
  <si>
    <t>Пульт для SHIVAKI RC02-61 (ic)</t>
  </si>
  <si>
    <t>Пульт для SHIVAKI RC-811, HAIER HYF-28D</t>
  </si>
  <si>
    <t>Пульт для SHIVAKI RC-9830</t>
  </si>
  <si>
    <t>Пульт для SHIVAKI STV-45LED18S (ic)  BRAVIS ELED-65Q5000 Smart+T2</t>
  </si>
  <si>
    <t>Пульт для SITRONICS 50J1, TELEFUNKEN, LG57L8, SONY55L7 (ic)</t>
  </si>
  <si>
    <t>Пульт для SITRONICS HYDFSR-A025EUS</t>
  </si>
  <si>
    <t>Пульт для SITRONICS RC-2129MS</t>
  </si>
  <si>
    <t>Пульт для SITRONICS RK41A, ELECTRONGK23J2C1, WEST,FOTON LT3701E</t>
  </si>
  <si>
    <t>Пульт для SITRONICS ST-9012, TELEFUNKEN, HOT761(ic)</t>
  </si>
  <si>
    <t>Пульт для SITRONICS STV-1402 (ABL-705)</t>
  </si>
  <si>
    <t>Пульт для SONY RM-687C</t>
  </si>
  <si>
    <t>Пульт для SONY RM-816 (ic)</t>
  </si>
  <si>
    <t>Пульт для SONY RM-827S</t>
  </si>
  <si>
    <t>Пульт для SONY RM-836</t>
  </si>
  <si>
    <t>Пульт для SONY RM-839</t>
  </si>
  <si>
    <t>Пульт для SONY RM-839 (ic)</t>
  </si>
  <si>
    <t>Пульт для SONY RM-870</t>
  </si>
  <si>
    <t>Пульт для SONY RM-887</t>
  </si>
  <si>
    <t>Пульт для SONY RM-887 (ic)</t>
  </si>
  <si>
    <t>Пульт для SONY RM-932 (ic)</t>
  </si>
  <si>
    <t>Пульт для SONY RM-934 (ic)</t>
  </si>
  <si>
    <t>Пульт для SONY RM-953</t>
  </si>
  <si>
    <t>Пульт для SONY RM-954</t>
  </si>
  <si>
    <t>Пульт для SONY RM-992</t>
  </si>
  <si>
    <t>Пульт для SONY RM-EA006 (ic)</t>
  </si>
  <si>
    <t>Пульт для SONY RM-ED005 (ic)</t>
  </si>
  <si>
    <t>Пульт для SONY RM-ED009 (ic)</t>
  </si>
  <si>
    <t>Пульт для SONY RM-ED013 (ic)</t>
  </si>
  <si>
    <t>Пульт для SONY RM-ED017 (ic)</t>
  </si>
  <si>
    <t>Пульт для SONY RM-ED020 (ic)</t>
  </si>
  <si>
    <t>Пульт для SONY RM-ED022 (ic)</t>
  </si>
  <si>
    <t>Пульт для SONY RM-ED029 (ic)</t>
  </si>
  <si>
    <t>Пульт для SONY RM-ED030 (ic)  3D</t>
  </si>
  <si>
    <t>Пульт для SONY RM-ED033 (ic)</t>
  </si>
  <si>
    <t>Пульт для SONY RM-ED034 (ic)</t>
  </si>
  <si>
    <t>Пульт для SONY RM-ED037 (ic)</t>
  </si>
  <si>
    <t>Пульт для SONY RM-ED038 (ic)</t>
  </si>
  <si>
    <t>Пульт для SONY RM-ED040 (ic)</t>
  </si>
  <si>
    <t>Пульт для SONY RM-ED041 3D (ic)</t>
  </si>
  <si>
    <t>Пульт для SONY RM-ED045 (ic)</t>
  </si>
  <si>
    <t>Пульт для SONY RM-ED047 3D (ic)</t>
  </si>
  <si>
    <t>Пульт для SONY RM-ED050 (ic)</t>
  </si>
  <si>
    <t>Пульт для SONY RM-ED052 (ic)  3D</t>
  </si>
  <si>
    <t>Пульт для SONY RM-ED053 (ic)</t>
  </si>
  <si>
    <t>Пульт для SONY RM-ED054 (ic)</t>
  </si>
  <si>
    <t>Пульт для SONY RM-ED058 (ic)  3D</t>
  </si>
  <si>
    <t>Пульт для SONY RM-ED060 3D (ic)</t>
  </si>
  <si>
    <t>Пульт для SONY RM-ED061 (ic)</t>
  </si>
  <si>
    <t>Пульт для SONY RM-ED062 (ic)</t>
  </si>
  <si>
    <t>Пульт для SONY RM-GA002,   RM-W103</t>
  </si>
  <si>
    <t>Пульт для SONY RM-GA005</t>
  </si>
  <si>
    <t>Пульт для SONY RM-GA009 (ic)</t>
  </si>
  <si>
    <t>Пульт для SONY RM-GA015 (ic)</t>
  </si>
  <si>
    <t>Пульт для SONY RM-GA018 (ic)</t>
  </si>
  <si>
    <t>Пульт для SONY RMT-TX100D (ic) NETFLIX</t>
  </si>
  <si>
    <t>Пульт для SONY RMT-TX101P (ic)</t>
  </si>
  <si>
    <t>Пульт для SONY RMT-TX300E (ic) NETFLIX</t>
  </si>
  <si>
    <t>Пульт для SONY RMT-V154A</t>
  </si>
  <si>
    <t>VCR</t>
  </si>
  <si>
    <t>Пульт для SONY RMT-V181B</t>
  </si>
  <si>
    <t>Пульт для SONY RM-W100</t>
  </si>
  <si>
    <t>Пульт для SONY RM-W103</t>
  </si>
  <si>
    <t>Пульт для SONY RM-W103 (ic)</t>
  </si>
  <si>
    <t>Пульт для SONY RM-W104</t>
  </si>
  <si>
    <t>Пульт для SONY RM-YA005</t>
  </si>
  <si>
    <t>Пульт для SONY RM-YA194</t>
  </si>
  <si>
    <t>Пульт для START - ROTEX</t>
  </si>
  <si>
    <t>Пульт для START 05D5A, 1482 (ic)</t>
  </si>
  <si>
    <t>Пульт для START NP41-A, PATRIOT RC02-36 (ic)</t>
  </si>
  <si>
    <t>Пульт для START NP51A with TXT, ORION</t>
  </si>
  <si>
    <t>Пульт для START P81, DIGITAL, KONKA, ROTEX, ARVIN</t>
  </si>
  <si>
    <t>Пульт для START PP1</t>
  </si>
  <si>
    <t>Пульт для SUPER KR-02A, VITEK</t>
  </si>
  <si>
    <t>Пульт для SUPER KR-02С DTV над кругом</t>
  </si>
  <si>
    <t>Пульт для SUPER KR-08A</t>
  </si>
  <si>
    <t>Пульт для SUPER KR-18</t>
  </si>
  <si>
    <t>Пульт для SUPER KR-19 COBY</t>
  </si>
  <si>
    <t>Пульт для SUPER N-150</t>
  </si>
  <si>
    <t>Пульт для SUPRA / VR LT-15N08V (ic)</t>
  </si>
  <si>
    <t>Пульт для SUPRA 14N8, 1202-3 (ic)</t>
  </si>
  <si>
    <t>Пульт для SUPRA 1CE3 grey</t>
  </si>
  <si>
    <t>Пульт для SUPRA EN-21613C HONDA</t>
  </si>
  <si>
    <t>Пульт для SUPRA HOF10G705GPD9 (ic)</t>
  </si>
  <si>
    <t>Пульт для SUPRA HOF12H126GPD11 (ic)</t>
  </si>
  <si>
    <t>Пульт для SUPRA JH-11370 3D 9012-0E0E (ic)</t>
  </si>
  <si>
    <t>Пульт для SUPRA LCD S-26L2A, SUPRA HOF09B</t>
  </si>
  <si>
    <t>Пульт для SUPRA Rc02-CH BRAVIS, ELECTRON (ic)</t>
  </si>
  <si>
    <t>Пульт для SUPRA RC02-T338 (ic)   (STV-LC32LT0060F)/DEXP (F32D7000C)</t>
  </si>
  <si>
    <t>Пульт для SUPRA RC03-51 (ic)</t>
  </si>
  <si>
    <t>Пульт для SUPRA RC13B (ic)</t>
  </si>
  <si>
    <t>Пульт для SUPRA RC1b (ic)</t>
  </si>
  <si>
    <t>Пульт для SUPRA RCF1b (ic)</t>
  </si>
  <si>
    <t>Пульт для SUPRA RC-S113</t>
  </si>
  <si>
    <t>Пульт для SUPRA RS41-MOUSE (STV-LC32ST3001F) (ic)</t>
  </si>
  <si>
    <t>Пульт для SUPRA S-15F9A</t>
  </si>
  <si>
    <t>Пульт для SUPRA S-19L19</t>
  </si>
  <si>
    <t>Пульт для SUPRA S-24L20</t>
  </si>
  <si>
    <t>Пульт для SUPRA STV-LC1504W (ic)</t>
  </si>
  <si>
    <t>Пульт для SUPRA STV-LC1515, RC10b, RC4b (ic)</t>
  </si>
  <si>
    <t>Пульт для SUPRA STV-LC1985WL (ic) HOF10K745GPD6</t>
  </si>
  <si>
    <t>Пульт для SUPRA STV-LC19T860WL (ic)</t>
  </si>
  <si>
    <t>Пульт для SUPRA STV-LC3219W (ic)</t>
  </si>
  <si>
    <t>Пульт для SUPRA TV-DVD7 (ic)</t>
  </si>
  <si>
    <t>Пульт для SUPRA XK237B-2 TELEFUNKEN, VEKTA (ic)</t>
  </si>
  <si>
    <t>Пульт для SUPRA Y-72C, STV-LC1977WD (ic) Y-72C2 (Timeshift), DEX ED20DF-01</t>
  </si>
  <si>
    <t>Пульт для SUPRA Y-72C2 (Y72C2) Timeshift (ic)</t>
  </si>
  <si>
    <t>Пульт для SUPRA Y-72C3, SUPRA STV-LC19T410WL (ic)</t>
  </si>
  <si>
    <t>Пульт для SUZUKI RC-D3-03, SHIVAKI RC-D3-03, HORIZONT RC-D3-03</t>
  </si>
  <si>
    <t>Пульт для TCL 06-520W37-B002X, SATURN LED291 F4(ic)</t>
  </si>
  <si>
    <t>Пульт для TCL 20B10F50, THOMSON T6-0Q0036-H050X (ic)</t>
  </si>
  <si>
    <t>Пульт для TCL RC3000M11 (ic) RC3000M13</t>
  </si>
  <si>
    <t>Пульт для TCL RC3000M13 (ic) RC3000M11</t>
  </si>
  <si>
    <t>Пульт для TELEFUNKEN 507DTV (TF-LED28S9T2) (ic)</t>
  </si>
  <si>
    <t>Пульт для TELESONIC AM-2018, BROCSONIC M50560-001P</t>
  </si>
  <si>
    <t>Пульт для THOMSON 29DMV88KH</t>
  </si>
  <si>
    <t>Пульт для THOMSON R-166D, WEST, MEREDIAN (ic)</t>
  </si>
  <si>
    <t>Пульт для THOMSON RC0Q0036, TCL, WEST (ic)</t>
  </si>
  <si>
    <t>Пульт для THOMSON RC111TA1G</t>
  </si>
  <si>
    <t>Пульт для THOMSON RC111TA1G (ic)</t>
  </si>
  <si>
    <t>Пульт для THOMSON RC1994301 TCL1994906 (ic)</t>
  </si>
  <si>
    <t>Пульт для THOMSON RC1994925 TCL1994939 (ic)</t>
  </si>
  <si>
    <t>Пульт для THOMSON RC-4131 (ic)</t>
  </si>
  <si>
    <t>Пульт для THOMSON RCT-100 (ic) замена RC111TA1G</t>
  </si>
  <si>
    <t>Пульт для THOMSON RCT-100 замена RC111TA1G</t>
  </si>
  <si>
    <t>Пульт для THOMSON RCT-116TA1G (ic)</t>
  </si>
  <si>
    <t>Пульт для THOMSON RCT-311SB1G</t>
  </si>
  <si>
    <t>Пульт для THOMSON RCT-311SC1G</t>
  </si>
  <si>
    <t>Пульт для THOMSON RS17-11106-015 (ic)</t>
  </si>
  <si>
    <t>Пульт для THOMSON T15E01MT (ic)</t>
  </si>
  <si>
    <t>Пульт для THOMSON T22E31HU, MYSTERY MTV-1908W (ic)</t>
  </si>
  <si>
    <t>Пульт для TOSHIBA CT-32F2*  (ic)</t>
  </si>
  <si>
    <t>Пульт для TOSHIBA CT-8010 (ic)</t>
  </si>
  <si>
    <t>Пульт для TOSHIBA CT-8022 (ic)</t>
  </si>
  <si>
    <t>Пульт для TOSHIBA CT-8023 (ic)</t>
  </si>
  <si>
    <t>Пульт для TOSHIBA CT-893 CT-90279 CT-889 (ic)</t>
  </si>
  <si>
    <t>Пульт для TOSHIBA CT-90119, CT-90163</t>
  </si>
  <si>
    <t>Пульт для TOSHIBA CT-90119, CT-90163 (ic)</t>
  </si>
  <si>
    <t>Пульт для TOSHIBA CT-90198 (ic)</t>
  </si>
  <si>
    <t>Пульт для TOSHIBA CT-90229</t>
  </si>
  <si>
    <t>Пульт для TOSHIBA CT-90229 (ic)</t>
  </si>
  <si>
    <t>Пульт для TOSHIBA CT-90253</t>
  </si>
  <si>
    <t>Пульт для TOSHIBA CT-90298 (ic)</t>
  </si>
  <si>
    <t>Пульт для TOSHIBA CT-90326 (ic)</t>
  </si>
  <si>
    <t>Пульт для TOSHIBA CT-90336, CT-90380 (ic)</t>
  </si>
  <si>
    <t>Пульт для TOSHIBA CT-90345 (ic)</t>
  </si>
  <si>
    <t>Пульт для TOSHIBA CT-90356 (ic)</t>
  </si>
  <si>
    <t>Пульт для TOSHIBA CT-90384 (ic)   CT-90400</t>
  </si>
  <si>
    <t>Пульт для TOSHIBA CT-90386 (ic)</t>
  </si>
  <si>
    <t>Пульт для TOSHIBA CT-9199</t>
  </si>
  <si>
    <t>Пульт для TOSHIBA CT-9430</t>
  </si>
  <si>
    <t>Пульт для TOSHIBA CT-9684, 9736</t>
  </si>
  <si>
    <t>Пульт для TOSHIBA CT-9731</t>
  </si>
  <si>
    <t>Пульт для TOSHIBA CT-9782</t>
  </si>
  <si>
    <t>Пульт для TOSHIBA CT-9782 (ic)</t>
  </si>
  <si>
    <t>Пульт для TOSHIBA CT-9818</t>
  </si>
  <si>
    <t>Пульт для TOSHIBA CT-9851</t>
  </si>
  <si>
    <t>Пульт для TOSHIBA CT-9856</t>
  </si>
  <si>
    <t>Пульт для TOSHIBA CT-9858</t>
  </si>
  <si>
    <t>Пульт для TOSHIBA CT-9881, CT-9859</t>
  </si>
  <si>
    <t>Пульт для TOSHIBA CT-9922 (ic)</t>
  </si>
  <si>
    <t>Пульт для TOSHIBA CT-9992</t>
  </si>
  <si>
    <t>Пульт для TOSHIBA WC-G1R (ic)</t>
  </si>
  <si>
    <t>Пульт для VIDIMAX RC-3004</t>
  </si>
  <si>
    <t>Пульт для VIDIMAX RC903A, CAMERON RC903A (ic)</t>
  </si>
  <si>
    <t>Пульт для WEST ACH-T-1, GK21A1-C12 (ic)</t>
  </si>
  <si>
    <t>Пульт для WEST EN-21624C</t>
  </si>
  <si>
    <t>Пульт для WEST GK21A1-C12, AKIRA ACH-T-1, GROL GR-1402, 2102</t>
  </si>
  <si>
    <t>Пульт для WEST K10N-C12</t>
  </si>
  <si>
    <t>Пульт для WEST K18F-C16, K18F-C24</t>
  </si>
  <si>
    <t>Пульт для WEST K18F-C16, K18F-C24 (ic)</t>
  </si>
  <si>
    <t>Пульт для WEST TU2145 (ic)</t>
  </si>
  <si>
    <t>Пульт для XIAOMI Mi TV (IR)</t>
  </si>
  <si>
    <t>Пульт для ВИТЯЗЬ RC-5</t>
  </si>
  <si>
    <t>Пульт для ВИТЯЗЬ RC-6-1 (ПДУ-10)</t>
  </si>
  <si>
    <t>Пульт для ГОРИЗОНТ 468373528 (ic)</t>
  </si>
  <si>
    <t>Пульт для ГОРИЗОНТ A39, K27 (ic)</t>
  </si>
  <si>
    <t>Пульт для ГОРИЗОНТ BP-6, RC-6-5</t>
  </si>
  <si>
    <t>Пульт для ГОРИЗОНТ BP-6, RC-6-5 (ic)</t>
  </si>
  <si>
    <t>Пульт для ГОРИЗОНТ RB34H-C1 (ic)</t>
  </si>
  <si>
    <t>Пульт для ГОРИЗОНТ RC 6-7-2</t>
  </si>
  <si>
    <t>Пульт для ГОРИЗОНТ RC 7-7</t>
  </si>
  <si>
    <t>Пульт для ГОРИЗОНТ RC 7-7 (ic)</t>
  </si>
  <si>
    <t>Пульт для ГОРИЗОНТ RC-1153503 (ic)</t>
  </si>
  <si>
    <t>Пульт для ГОРИЗОНТ RC-4</t>
  </si>
  <si>
    <t>Пульт для ГОРИЗОНТ RC-4 РЫБКА</t>
  </si>
  <si>
    <t>Пульт для ГОРИЗОНТ RC-4 ФОСФОР</t>
  </si>
  <si>
    <t>Пульт для ГОРИЗОНТ RC-4/F РЫБКА</t>
  </si>
  <si>
    <t>Пульт для ГОРИЗОНТ RC-6500</t>
  </si>
  <si>
    <t>Пульт для ГОРИЗОНТ RC-L06</t>
  </si>
  <si>
    <t>Пульт для СОКОЛ DF-65</t>
  </si>
  <si>
    <t>SAT</t>
  </si>
  <si>
    <t>Пульт для ACCESS HD DCD7304 (ic)</t>
  </si>
  <si>
    <t>Пульт для AMINO TZ-RC43B-48 (ic)</t>
  </si>
  <si>
    <t>Пульт для AVEST TP-1001, ELECT EDR-7819 (ic)</t>
  </si>
  <si>
    <t>DVB-T2</t>
  </si>
  <si>
    <t>Пульт для BBK RC0105</t>
  </si>
  <si>
    <t>CABLE</t>
  </si>
  <si>
    <t>Пульт для BBK RC-SMP712 DVB-T2 (ic)</t>
  </si>
  <si>
    <t>Пульт для BEKO T3, T5, T7, T777</t>
  </si>
  <si>
    <t>Пульт для BIG SAT GOLDEN 1CR HD (ic)</t>
  </si>
  <si>
    <t>Пульт для BLACK GLOBO 7010A</t>
  </si>
  <si>
    <t>Пульт для CADENTA CDT-1652S (ic) RC1631IR VAR1</t>
  </si>
  <si>
    <t>Пульт для CHANGHONG BK3B-C1, ЯМАЛ BK3B-C24 (ic)</t>
  </si>
  <si>
    <t>Пульт для CONTINENT CHD-04/IR (ic)</t>
  </si>
  <si>
    <t>Пульт для COSMOSAT 7400, 7405, 7410</t>
  </si>
  <si>
    <t>Пульт для COSMOSAT 7800 CPVR-D, CPVR-HD (ic)</t>
  </si>
  <si>
    <t>Пульт для D-COLOR DC1302HD (DRC-5) (ic)</t>
  </si>
  <si>
    <t>Пульт для D-COLOR DC802HD (ic)</t>
  </si>
  <si>
    <t>Пульт для DELTA SYSTEMS DS-530HD, DS-910HD  (ic)</t>
  </si>
  <si>
    <t>Пульт для DIGILINE GHB-898 (ic)</t>
  </si>
  <si>
    <t>Пульт для DIT DT-1</t>
  </si>
  <si>
    <t>Пульт для DREAM BOX DM-500 (ic)</t>
  </si>
  <si>
    <t>Пульт для ELECT EDR-7916 (ic)</t>
  </si>
  <si>
    <t>Пульт для EUROSKY ES-108, SKYPRIME M8 M9 HD</t>
  </si>
  <si>
    <t>Пульт для EUROSKY ES-108, SKYPRIME M8 M9 HD (ic)</t>
  </si>
  <si>
    <t>Пульт для EUROSKY ES-18</t>
  </si>
  <si>
    <t>Пульт для EUROSKY ES-3011, 3015D (ic)</t>
  </si>
  <si>
    <t>Пульт для EUROSKY ES-4100c, DVB-4050c LORTON</t>
  </si>
  <si>
    <t>Пульт для EUROSKY ES-4100c, DVB-4050c LORTON (ic)</t>
  </si>
  <si>
    <t>Пульт для EVO-02 ТЕЛЕКАРТА, EVO II (ic)</t>
  </si>
  <si>
    <t>Пульт для EVOLUTION RC-700S</t>
  </si>
  <si>
    <t>Пульт для GALAXY INNOVATIONS Gi-S1013 (ic)</t>
  </si>
  <si>
    <t>Пульт для GALAXY INNOVATIONS Gi-S2020, STARSAT SR-X60CU (ic)</t>
  </si>
  <si>
    <t>Пульт для GALAXY INNOVATIONS Gi-S2138, HOF11K044GPD4, ALIEN (ic)</t>
  </si>
  <si>
    <t>Пульт для GALAXY INNOVATIONS GI-S8120, HOF11L161GPD12, AMIKO (ic)</t>
  </si>
  <si>
    <t>SMART</t>
  </si>
  <si>
    <t>Пульт для GI HD SLIM (ic)</t>
  </si>
  <si>
    <t>Пульт для GLOBAL S300, @-STAR ASR3510MA</t>
  </si>
  <si>
    <t>Пульт для GLOBO 6000, 5000; STAR TRACK 550D</t>
  </si>
  <si>
    <t>Пульт для GLOBO 7010A 8200, WIN QUEST, ORTON</t>
  </si>
  <si>
    <t>Пульт для GLOBO 7010A 8200, WIN QUEST, ORTON (ic)</t>
  </si>
  <si>
    <t>Пульт для GLOBO KR-110 NOC, KR-220CR, AURUM VISAT</t>
  </si>
  <si>
    <t>Пульт для GLOBO RC-X10, OPTICUM</t>
  </si>
  <si>
    <t>Пульт для GLOBO X90, X80, ORTON GL8 premium</t>
  </si>
  <si>
    <t>Пульт для GOLD STAR GS8830HD,  GOLD STAR 8833HD</t>
  </si>
  <si>
    <t>Пульт для GOLDEN INTERSTAR DSR-7700</t>
  </si>
  <si>
    <t>Пульт для GOLDEN INTERSTAR FTA GERMANY FTA S  (ic)</t>
  </si>
  <si>
    <t>Пульт для GOLDEN INTERSTAR GI-T/S 84CI PVRX (ic)</t>
  </si>
  <si>
    <t>Пульт для GOLDEN INTERSTAR GI-XXREC, GI-S905-HD</t>
  </si>
  <si>
    <t>Пульт для GOLDEN INTERSTAR HD CA CLASS  (ic)GI HD FTA</t>
  </si>
  <si>
    <t>Пульт для GOLDMASTER 57G (ic)</t>
  </si>
  <si>
    <t>Пульт для GOLDMASTER T-303SD mini ВАР3 (ic)</t>
  </si>
  <si>
    <t>Пульт для GOLDMASTER T-303SD ВАР2 fusion (ic)</t>
  </si>
  <si>
    <t>Пульт для GOLDMASTER T-707HD&amp;HD1, SKY VISION Т2108(ic)</t>
  </si>
  <si>
    <t>Пульт для HDBOX T2 PRO (ic)</t>
  </si>
  <si>
    <t>Пульт для HUMAX ND-2030C, AKADO (ic)</t>
  </si>
  <si>
    <t>Пульт для HUMAX RS-101P (ic)</t>
  </si>
  <si>
    <t>Пульт для HUMAX RS-210P (ic)</t>
  </si>
  <si>
    <t>Пульт для HUMAX VDS-3300</t>
  </si>
  <si>
    <t>Пульт для IPTV TV-171 KYIVSTAR, DUNE HD</t>
  </si>
  <si>
    <t>IPTV</t>
  </si>
  <si>
    <t>Пульт для KASKAD VA2102HD, MASTER, LOCUS ADS-361 (ic)</t>
  </si>
  <si>
    <t>Пульт для KONKA DVB TROPHY-1001S MATRIX</t>
  </si>
  <si>
    <t>Пульт для MAG 250 (ic)</t>
  </si>
  <si>
    <t>Пульт для MDI DBR-701 (ic)</t>
  </si>
  <si>
    <t>Пульт для OPENBOX 7 series X-730/750/770CIPVR (ic)</t>
  </si>
  <si>
    <t>Пульт для OPENBOX AS2 HD  (ic)</t>
  </si>
  <si>
    <t>Пульт для OPENBOX F-500, X-540 код 40BF КАК ОРИГИНАЛ (ic)</t>
  </si>
  <si>
    <t>Пульт для OPENBOX S1</t>
  </si>
  <si>
    <t>Пульт для OPENBOX S5, S6 HD PVR, S6 Pro HD PVR, S4HD PVR</t>
  </si>
  <si>
    <t>Пульт для OPENBOX T2-02 HD (ic)</t>
  </si>
  <si>
    <t>Пульт для OPENBOX X-620, X-100, X-600, FERGUSON RC-908</t>
  </si>
  <si>
    <t>Пульт для OPENBOX X-800/820, STARTRACK 1150</t>
  </si>
  <si>
    <t>Пульт для ORIEL ПДУ-10 (ver.10) (ic)</t>
  </si>
  <si>
    <t>Пульт для ORIEL ПДУ-6 (VER.6) (ic)</t>
  </si>
  <si>
    <t>Пульт для ORTON HD X405P, HD X406P OPTICUM HD X405P, HD X406P</t>
  </si>
  <si>
    <t>Пульт для ORTON X80 HDMI NOC</t>
  </si>
  <si>
    <t>Пульт для OZONEHD 4K PRO</t>
  </si>
  <si>
    <t>Пульт для PANTESAT HD-2258 T2, UKC</t>
  </si>
  <si>
    <t>Пульт для PROWEST PWR-2017</t>
  </si>
  <si>
    <t>Пульт для Q-SAT Q-07, Q-11</t>
  </si>
  <si>
    <t>Пульт для Q-SAT Q3, Q2, SAT INTEGRAL S1226</t>
  </si>
  <si>
    <t>Пульт для Q-SAT Q-45, Q-44, ALPHABOX X4SL</t>
  </si>
  <si>
    <t>Пульт для REDBOX АТЛАНТ ТЕЛЕКОМ MINI (ic)</t>
  </si>
  <si>
    <t>Пульт для ROMSAT RS-300, CONTINENT CHD-04/IR</t>
  </si>
  <si>
    <t>Пульт для ROMSAT RS-300, CONTINENT CHD-04/IR (ic)</t>
  </si>
  <si>
    <t>Пульт для ROMSAT T2020, ROMSAT ULTRA</t>
  </si>
  <si>
    <t>Пульт для ROMSAT T2020, ROMSAT ULTRA (ic)</t>
  </si>
  <si>
    <t>Пульт для ROMSAT T2050 (ic)</t>
  </si>
  <si>
    <t>Пульт для ROMSAT TR-9110HD, TR-9100HD</t>
  </si>
  <si>
    <t>Пульт для S.STAR MINI007 T3, T5 маленький корпус</t>
  </si>
  <si>
    <t>Пульт для SAGEMCOM DSI87 HD case GLOBO 6000 (ic)</t>
  </si>
  <si>
    <t>Пульт для SAMSUNG GL59-00140A для VIASAT SMT-S5320(ic)</t>
  </si>
  <si>
    <t>Пульт для SAMSUNG MF59-00242A, DSB-S300V,DSB-S300F</t>
  </si>
  <si>
    <t>Пульт для SAMSUNG RC-9500</t>
  </si>
  <si>
    <t>Пульт для SAT INTEGRAL 5052 T2, GI HD SLIM COMBO</t>
  </si>
  <si>
    <t>Пульт для SAT INTEGRAL S-1210HD, S-1221HD, ARON, STEALTH</t>
  </si>
  <si>
    <t>Пульт для SAT INTEGRAL S-1225HD S-1227HD</t>
  </si>
  <si>
    <t>Пульт для SAT INTEGRAL TH-7300, 7200</t>
  </si>
  <si>
    <t>Пульт для SATCOM T-110 T-120  (ic)</t>
  </si>
  <si>
    <t>Пульт для SELENGA T70 HD930  (ic)</t>
  </si>
  <si>
    <t>Пульт для SKYGATE NET (ic)</t>
  </si>
  <si>
    <t>Пульт для SKYON DSR-1350, TIGER T1, T2 DREAM SKY DSR-3100</t>
  </si>
  <si>
    <t>Пульт для SKYON DSR-2300, DSR-3150</t>
  </si>
  <si>
    <t>Пульт для SKYPRIME V T2, BRAVIS STB-1108 (ic) ERGO</t>
  </si>
  <si>
    <t>Пульт для SMART ENIGMA, MX-05</t>
  </si>
  <si>
    <t>Пульт для SMART MX 04-2</t>
  </si>
  <si>
    <t>Пульт для SMART RAPIDA</t>
  </si>
  <si>
    <t>Пульт для SMART TV BOX MECOOL K1 PLUS, GI UNI2(ic)</t>
  </si>
  <si>
    <t>Пульт для SMART TV BOX MX9 PRO, MX10</t>
  </si>
  <si>
    <t>Пульт для SMART TV BOX X96 X4s</t>
  </si>
  <si>
    <t>Пульт для SMART TV BOX X96 X6s</t>
  </si>
  <si>
    <t>Пульт для SMART TV BOX X96, INEXT 4K2</t>
  </si>
  <si>
    <t>Пульт для STAR TRACK 55X HD, 50X HD (ic)  TIGER F1</t>
  </si>
  <si>
    <t>Пульт для STAR TRACK 55X HD, 50X HD,   TIGER F1</t>
  </si>
  <si>
    <t>Пульт для STAR TRACK DVB-C5, SR75x</t>
  </si>
  <si>
    <t>Пульт для STAR TRACK X1150CH, SR-X1050</t>
  </si>
  <si>
    <t>Пульт для STARSAT SR-X7300CU (ic)</t>
  </si>
  <si>
    <t>Пульт для START TRACK ARION AF-3030IR,AF-8000HDCI,AF-8500 (ic)</t>
  </si>
  <si>
    <t>Пульт для STRONG RC-6016 SRT 6200/SRT 6202/SRT 6205</t>
  </si>
  <si>
    <t>Пульт для STRONG SRT 7600 УТБ (ic),  XTRA TV</t>
  </si>
  <si>
    <t>Пульт для STRONG SRT-60XX, SRT-61XX STRONG-401 NOC</t>
  </si>
  <si>
    <t>Пульт для STRONG SRT7711    (ic)</t>
  </si>
  <si>
    <t>Пульт для STRONG SRT-8204</t>
  </si>
  <si>
    <t>Пульт для STRONG SRT-8500HD</t>
  </si>
  <si>
    <t>Пульт для STRONG SRT-8500HD (ic)</t>
  </si>
  <si>
    <t>Пульт для STRONG SRT-8502</t>
  </si>
  <si>
    <t>Пульт для STRONG SRT-8502 (ic)</t>
  </si>
  <si>
    <t>Пульт для STRONG STR-4125 Evolution</t>
  </si>
  <si>
    <t>Пульт для STRONG STR-4450, STR-4400 (ic)</t>
  </si>
  <si>
    <t>Пульт для STRONG STR-7700, VIASAT (ic)</t>
  </si>
  <si>
    <t>Пульт для TANIX TX3 SMART TV BOX</t>
  </si>
  <si>
    <t>Пульт для TECHNOSAT 6000A корпус GLOBO 6000</t>
  </si>
  <si>
    <t>Пульт для TIGER 4050HD, SKYPRIME M10</t>
  </si>
  <si>
    <t>Пульт для TIGER 4050HD, SKYPRIME M10 (ic)</t>
  </si>
  <si>
    <t>Пульт для TIGER F1</t>
  </si>
  <si>
    <t>Пульт для TIGER T1 T2 идет на T5 T6</t>
  </si>
  <si>
    <t>Пульт для TIGER T2 (ic),   U2C T2 HD, SELENGA T60</t>
  </si>
  <si>
    <t>Пульт для TIGER T2,   U2C T2 HD, SELENGA T60</t>
  </si>
  <si>
    <t>Пульт для TIGER T600HD T6 CLASS HD (ic)</t>
  </si>
  <si>
    <t>Пульт для TOPFIELD 2, TF64001RC, K4502A</t>
  </si>
  <si>
    <t>Пульт для TRICOLOR 5000, 7000, DRE</t>
  </si>
  <si>
    <t>Пульт для TRICOLOR DRE-5000 (ic)</t>
  </si>
  <si>
    <t>Пульт для TRICOLOR GS8300M NEW case 2220 (ic)</t>
  </si>
  <si>
    <t>Пульт для TRICOLOR GS8300M, GS8300, DRE 5001, GENERAL SATELITE</t>
  </si>
  <si>
    <t>Пульт для TRICOLOR GS-B212, GS-B211 (ic)</t>
  </si>
  <si>
    <t>Пульт для TRIMAX SC-350 (ic)</t>
  </si>
  <si>
    <t>Пульт для TRIMAX TR-2012HD DVB T2</t>
  </si>
  <si>
    <t>Пульт для TRIMAX TR-2015 (ic)  (TR-2017, TR-9110HDROMSAT)</t>
  </si>
  <si>
    <t>Пульт для TRIMAX TR-2015,  (TR-2017, TR-9110HD ROMSAT)</t>
  </si>
  <si>
    <t>Пульт для TROPHY TA-1001T</t>
  </si>
  <si>
    <t>Пульт для U2C Al TERNATIVA, ALTERNATIVA</t>
  </si>
  <si>
    <t>Пульт для U2C B6 FULL HD, UCLAN (tv/r, sat)</t>
  </si>
  <si>
    <t>Пульт для U2C DENYS H.265</t>
  </si>
  <si>
    <t>Пульт для U2C DENYS H.265 (ic)</t>
  </si>
  <si>
    <t>Пульт для U2C S+ MAXI/MINI KT1045XHYI</t>
  </si>
  <si>
    <t>Пульт для U2C T2 HD PLUS new  (ic) 00FF</t>
  </si>
  <si>
    <t>Пульт для U2C T2 new T37 HD +, UCLAN (zoom, timer)</t>
  </si>
  <si>
    <t>Пульт для UCLAN T2 HD SE (ic) caseT37 (zoom, timer)</t>
  </si>
  <si>
    <t>Пульт для UCLAN USTYM 4K PRO</t>
  </si>
  <si>
    <t>Пульт для VIASAT ROMSAT S2 TV</t>
  </si>
  <si>
    <t>Пульт для WIN QUEST 5555M, SIMAX HDTR 882P5ORTO HD 670 L</t>
  </si>
  <si>
    <t>Пульт для WIN QUEST 5555M, SIMAX HDTR 882P5 (ic)ORTO HD 670 L</t>
  </si>
  <si>
    <t>Пульт для WIN QUEST S-2016HD</t>
  </si>
  <si>
    <t>Пульт для WIN QUEST WQ-001UG NOC</t>
  </si>
  <si>
    <t>Пульт для WIN QUEST WQ-2010</t>
  </si>
  <si>
    <t>Пульт для WORLD VISION T34, T34A, T34i</t>
  </si>
  <si>
    <t>Пульт для WORLD VISION T37, HYUNDAI H-DVB03T2</t>
  </si>
  <si>
    <t>Пульт для WORLD VISION T37, HYUNDAI H-DVB03T2 (ic)</t>
  </si>
  <si>
    <t>Пульт для WORLD VISION T38 (ic)  SVEN SEE-149, 150, SATCOM T320</t>
  </si>
  <si>
    <t>Пульт для WORLD VISION T43, T40, T53 (ic)</t>
  </si>
  <si>
    <t>Пульт для WORLD VISION T54, T37</t>
  </si>
  <si>
    <t>Пульт для WORLD VISION T56, T36</t>
  </si>
  <si>
    <t>Пульт для WORLD VISION T56, T36 (ic)</t>
  </si>
  <si>
    <t>Пульт для WORLD VISION T62, T62D, T70 T71</t>
  </si>
  <si>
    <t>Пульт для WORLD VISION T62, T62D, T70 T71 (ic)</t>
  </si>
  <si>
    <t>Пульт для ZALA IPTV (ic)</t>
  </si>
  <si>
    <t>Пульт для ВОЛЯ SMART HD TV, ENTONI CAMAI (ic)</t>
  </si>
  <si>
    <t>Пульт для ВОЛЯ ТВ ACCESS DCD-3011 (ic)</t>
  </si>
  <si>
    <t>Пульт для ВОЛЯ ТВ KAON CO3510 (ic)</t>
  </si>
  <si>
    <t>Пульт для МТС DN300, DS300A, DC300A (ic)</t>
  </si>
  <si>
    <t>DVD</t>
  </si>
  <si>
    <t>Пульт для AKAI DV-P4745KDS</t>
  </si>
  <si>
    <t>Пульт для AKAI DV-P4797KDMC</t>
  </si>
  <si>
    <t>Пульт для AKIRA JX-2002, SOKOL</t>
  </si>
  <si>
    <t>Пульт для AKIRA KF-8000A</t>
  </si>
  <si>
    <t>Пульт для ALPARI TD-886, TD-125, TD-139, LIBERTON</t>
  </si>
  <si>
    <t>Пульт для ATLANTIC AT-4001, SONY, PIONEER, DEZA</t>
  </si>
  <si>
    <t>Пульт для AVTO DVD DVX-8600MPY, PIONEER 993, HYUNDAI, RAINFORD</t>
  </si>
  <si>
    <t>Пульт для BBK DW9915S NOC</t>
  </si>
  <si>
    <t>HT</t>
  </si>
  <si>
    <t>Пульт для BBK RC026-11R</t>
  </si>
  <si>
    <t>Пульт для BBK RC-52 (ic)</t>
  </si>
  <si>
    <t>Пульт для BBK RC-57 (ic)</t>
  </si>
  <si>
    <t>Пульт для BIMATEK D1152VKP, NEXON, WEST 5132, SATURN, SOUNDMAX</t>
  </si>
  <si>
    <t>Пульт для BRAVIS AK-902S slim</t>
  </si>
  <si>
    <t>Пульт для BRAVIS DVD-2010, 2020, 2030,SVEN HD-1037</t>
  </si>
  <si>
    <t>Пульт для BRAVIS DVD-551 черный NOC</t>
  </si>
  <si>
    <t>Пульт для BRAVIS DVD-553, 553D, 558, TOPFIELD KORRDVD 2268USB NOC</t>
  </si>
  <si>
    <t>Пульт для BRAVIS DVD-560, 607N, SHIVAKI</t>
  </si>
  <si>
    <t>Пульт для BRAVIS DVD-607,610, SHIVAKI</t>
  </si>
  <si>
    <t>AUX</t>
  </si>
  <si>
    <t>Пульт для CAR RC: KENWOOD DNPP</t>
  </si>
  <si>
    <t>Пульт для CAR RC: KENWOOD KCA-R6A, ADN-308</t>
  </si>
  <si>
    <t>Пульт для CAR RC: PIONEER ADN-306</t>
  </si>
  <si>
    <t>Пульт для CAR RC: PIONEER CXB6798</t>
  </si>
  <si>
    <t>Пульт для DAEWOO DV-1350S, DV1400</t>
  </si>
  <si>
    <t>Пульт для DAEWOO DV-700S, TRONY</t>
  </si>
  <si>
    <t>Пульт для DAEWOO DVDP-121K</t>
  </si>
  <si>
    <t>Пульт для DESO DVD 998, 3610B, DVD-025</t>
  </si>
  <si>
    <t>Пульт для DESO DVD-2801, DVD998</t>
  </si>
  <si>
    <t>Пульт для DESO DVD-3800</t>
  </si>
  <si>
    <t>Пульт для DESO DVD-880OF, OPENFOX DVD-818</t>
  </si>
  <si>
    <t>Пульт для DEX DVP-133</t>
  </si>
  <si>
    <t>Пульт для DEX DVP-272</t>
  </si>
  <si>
    <t>Пульт для DEX DVP-274</t>
  </si>
  <si>
    <t>Пульт для DEX DVP-280</t>
  </si>
  <si>
    <t>Пульт для DIGITAL DVP-227KM, DVP-220KU, DVP-230, DVP-300KUC</t>
  </si>
  <si>
    <t>Пульт для ELCO EL- 733C</t>
  </si>
  <si>
    <t>Пульт для ELENBERG DVDP-2404 NOC!!!</t>
  </si>
  <si>
    <t>Пульт для ELENBERG DVP-2407, DVDP-2406, WEST DVX5127, SATURN ST1702</t>
  </si>
  <si>
    <t>Пульт для ELENBERG DV-VKM-1440SI</t>
  </si>
  <si>
    <t>Пульт для ELENBERG R707E, HT-120, NEXON</t>
  </si>
  <si>
    <t>Пульт для ELENBERG R802E, MEREDIAN R706, SUPRA R802E, HYUNDAI 3629</t>
  </si>
  <si>
    <t>Пульт для ELENBERG RC-D010E 00FB PYRAMIDA</t>
  </si>
  <si>
    <t>Пульт для ELENBERG RC-D010E 00FF SUPRA, HYUNDAI DVDP-2430, 2445</t>
  </si>
  <si>
    <t>Пульт для ERISSON JX-8005B NOC!!!!, DAEWOO</t>
  </si>
  <si>
    <t>Пульт для GENERAL JX-2008B, ERISSON DVD1130 (ic)</t>
  </si>
  <si>
    <t>Пульт для GENERAL RC-001 SHIVAKI (ic)</t>
  </si>
  <si>
    <t>Пульт для HYUNDAI H-DVD5006</t>
  </si>
  <si>
    <t>Пульт для HYUNDAI H-DVD5016, NORMAN DVX758, DEX 511, SHIVAKI DVD-811</t>
  </si>
  <si>
    <t>Пульт для HYUNDAI H-DVD5046N</t>
  </si>
  <si>
    <t>Пульт для HYUNDAI H-DVD5062-N</t>
  </si>
  <si>
    <t>Пульт для HYUNDAI JX8006, HYUNDAI H-DVD5042-N</t>
  </si>
  <si>
    <t>Пульт для IZUMI WS-528 (ic)</t>
  </si>
  <si>
    <t>Пульт для LG 6711R1P082A</t>
  </si>
  <si>
    <t>Пульт для LG 6711R1P083A</t>
  </si>
  <si>
    <t>Пульт для LG AKB32273504 (ic)</t>
  </si>
  <si>
    <t>Пульт для LG AKB32713201 (ic)</t>
  </si>
  <si>
    <t>Пульт для LG AKB36087606 (ic)</t>
  </si>
  <si>
    <t>Пульт для LG AKB72033902 (ic)</t>
  </si>
  <si>
    <t>BD</t>
  </si>
  <si>
    <t>Пульт для LG AKB72976002 (ic)</t>
  </si>
  <si>
    <t>Пульт для MEREDIAN DRC-601, DRC-604, DRC-705</t>
  </si>
  <si>
    <t>Пульт для MEREDIAN DVD-201A</t>
  </si>
  <si>
    <t>Пульт для MEREDIAN DVD-202, 203</t>
  </si>
  <si>
    <t>Пульт для MEREDIAN DVD-501, DVD-502</t>
  </si>
  <si>
    <t>Пульт для MEREDIAN DVP-204H</t>
  </si>
  <si>
    <t>Пульт для MUSTEK DVD RM-6005 NOC</t>
  </si>
  <si>
    <t>Пульт для MUSTEK RC-MTK</t>
  </si>
  <si>
    <t>Пульт для NASH 7100, DVP-205</t>
  </si>
  <si>
    <t>Пульт для NASH ZX-SP8200</t>
  </si>
  <si>
    <t>Пульт для ODEON DVP-720</t>
  </si>
  <si>
    <t>Пульт для ONIKS FYT-9943, ORION 858, DENKI DVP-DK007</t>
  </si>
  <si>
    <t>Пульт для ORION DVD2 2407, DVD-882</t>
  </si>
  <si>
    <t>Пульт для ORION DVD707E, DVD-883, KIA, NEXON, DIGNIUM</t>
  </si>
  <si>
    <t>Пульт для ORION HT-831</t>
  </si>
  <si>
    <t>Пульт для PANASONIC EUR7722040 (ic)</t>
  </si>
  <si>
    <t>Пульт для PANASONIC EUR7722XEO (ic)</t>
  </si>
  <si>
    <t>Пульт для PANASONIC N2QAHB000064 (ic)</t>
  </si>
  <si>
    <t>Пульт для PANASONIC N2QAJB000142 (ic)</t>
  </si>
  <si>
    <t>Пульт для PANASONIC N2QAYB000006 (ic)</t>
  </si>
  <si>
    <t>Пульт для PANASONIC N2QAYB000281 (ic)</t>
  </si>
  <si>
    <t>Пульт для PANASONIC VEQ2392, VEQ2380 (ic)</t>
  </si>
  <si>
    <t>Пульт для PHILIPS 2422 5490 0902 (ic)</t>
  </si>
  <si>
    <t>Пульт для PHILIPS 2422 5490 0903 (ic)</t>
  </si>
  <si>
    <t>Пульт для PHILIPS 2422 5490 1504 (ic)</t>
  </si>
  <si>
    <t>DVD HDD</t>
  </si>
  <si>
    <t>Пульт для PHILIPS RC2034311/01 (ic)</t>
  </si>
  <si>
    <t>Пульт для PHILIPS RC-2K16 (ic)</t>
  </si>
  <si>
    <t>Пульт для PIONEER VXX3048 (ic)</t>
  </si>
  <si>
    <t>Пульт для PIONEER, PANASONIC, DEZA DA-01 WG-3700-1</t>
  </si>
  <si>
    <t>Пульт для PIONEER, PANASONIC, DEZA DV-2000 NOC 5.1CH</t>
  </si>
  <si>
    <t>Пульт для PIONEER, PANASONIC, DEZA DV-2001 NOC KARAOKE</t>
  </si>
  <si>
    <t>Пульт для PIONEER, PANASONIC, DEZA DV-2002 КАК ОРИГИНАЛ</t>
  </si>
  <si>
    <t>Пульт для PIONEER, PANASONIC, DEZA DV-2009</t>
  </si>
  <si>
    <t>Пульт для POLAR DV-3030, SVEN HD-1030</t>
  </si>
  <si>
    <t>Пульт для POLAR YX-10350A</t>
  </si>
  <si>
    <t>Пульт для RAINFORD 300</t>
  </si>
  <si>
    <t>Пульт для RAINFORD DVD-31XX, 32XX, 3410, SATURN ST1700 10932</t>
  </si>
  <si>
    <t>Пульт для RAINFORD KM-618 NOC, XORO HSD306</t>
  </si>
  <si>
    <t>Пульт для REELLEX DC-8220 program</t>
  </si>
  <si>
    <t>Пульт для REELLEX DC-8510 bookmark</t>
  </si>
  <si>
    <t>Пульт для REELLEX DC-8535 DL-8040</t>
  </si>
  <si>
    <t>Пульт для REELLEX DC-8542 8544 8232 8234</t>
  </si>
  <si>
    <t>Пульт для ROLSEN E6900-X005A, E6900-X032A</t>
  </si>
  <si>
    <t>Пульт для ROLSEN HRC-01 NOC корпус BBK19-01</t>
  </si>
  <si>
    <t>Пульт для ROLSEN RC-P03A, DENKI DK450K</t>
  </si>
  <si>
    <t>Пульт для ROLSEN RM569-RU, HYPFFD-0142, POLAR, WEST RM-1225</t>
  </si>
  <si>
    <t>Пульт для RUBIN SG-50S SG-102M SG-102HUC , ROLSEN</t>
  </si>
  <si>
    <t>Пульт для SAMSUNG 00012L (ic)</t>
  </si>
  <si>
    <t>Пульт для SAMSUNG 00053P (ic)</t>
  </si>
  <si>
    <t>DVD+VCR</t>
  </si>
  <si>
    <t>Пульт для SAMSUNG 00055G (ic)</t>
  </si>
  <si>
    <t>Пульт для SAMSUNG 00061T with karaoke (ic)</t>
  </si>
  <si>
    <t>Пульт для SAMSUNG 00074A (ic)</t>
  </si>
  <si>
    <t>Пульт для SAMSUNG 00084K with USB, HDMI (ic)</t>
  </si>
  <si>
    <t>Пульт для SAMSUNG AH59-01347A (ic)</t>
  </si>
  <si>
    <t>Пульт для SAMSUNG AH59-01644F (ic)</t>
  </si>
  <si>
    <t>Пульт для SAMSUNG AH59-01695N (ic)</t>
  </si>
  <si>
    <t>Пульт для SAMSUNG AH59-01778Y (ic)</t>
  </si>
  <si>
    <t>Пульт для SAMSUNG AH59-01907T (ic)</t>
  </si>
  <si>
    <t>Пульт для SAMSUNG AH59-01951K (ic)</t>
  </si>
  <si>
    <t>Пульт для SAMSUNG AH59-02131F (ic)</t>
  </si>
  <si>
    <t>Пульт для SAMSUNG AH59-02146S (ic)</t>
  </si>
  <si>
    <t>Пульт для SAMSUNG AH59-02195C (ic)</t>
  </si>
  <si>
    <t>Пульт для SAMSUNG AK59-00140A 3D (ic)</t>
  </si>
  <si>
    <t>MDPL</t>
  </si>
  <si>
    <t>Пульт для SATURN ST1701, VITEK VT-4016BK</t>
  </si>
  <si>
    <t>Пульт для SATURN ST1705</t>
  </si>
  <si>
    <t>Пульт для SATURN ST1706, VITEK VT-4081</t>
  </si>
  <si>
    <t>Пульт для SATURN ST-DV7728</t>
  </si>
  <si>
    <t>Пульт для SHARP RRMC GA718WJPA (ic)</t>
  </si>
  <si>
    <t>Пульт для SONY JX-9005</t>
  </si>
  <si>
    <t>Пульт для SONY RM-AAP013 (ic)</t>
  </si>
  <si>
    <t>Пульт для SONY RM-AAU002 (ic)</t>
  </si>
  <si>
    <t>Пульт для SONY RM-AAU013 (ic)</t>
  </si>
  <si>
    <t>Пульт для SONY RMT-B107A</t>
  </si>
  <si>
    <t>Пульт для SOUNDMAX JX3055B, HYUNDAI HB-255 (ic)</t>
  </si>
  <si>
    <t>Пульт для START DVD-ST1</t>
  </si>
  <si>
    <t>Пульт для SUPRA BD-212 (ic)</t>
  </si>
  <si>
    <t>Пульт для SUPRA DVS-117XK, DVS-217XK, SHT-404XKII(ic)</t>
  </si>
  <si>
    <t>Пульт для SUPRA SHT-204XKI SHT-405XKII (ic)</t>
  </si>
  <si>
    <t>Пульт для TCL DVD-8006, DVD-8010, SATURN</t>
  </si>
  <si>
    <t>Пульт для THOMSON RC-110DA1</t>
  </si>
  <si>
    <t>Пульт для THOMSON RCT195DA1 NOC</t>
  </si>
  <si>
    <t>Пульт для VITEK VT-001</t>
  </si>
  <si>
    <t>Пульт для VITEK VT-4000GY</t>
  </si>
  <si>
    <t>Пульт для VITEK VT-4003SR, VITEK, AKIRA KT-6222</t>
  </si>
  <si>
    <t>Пульт для VITEK VT-4072, VT-4074</t>
  </si>
  <si>
    <t>Пульт для WEST DVX5144</t>
  </si>
  <si>
    <t>Пульт для XORO HSD-400-01 NOC корпус BBK19-01</t>
  </si>
  <si>
    <t>Пульт для XORO HSD7100 RM-6000 NOC</t>
  </si>
  <si>
    <t>AC</t>
  </si>
  <si>
    <t>Универсальные пульты</t>
  </si>
  <si>
    <t>TV,DVD,SAT</t>
  </si>
  <si>
    <t>Презентер Rii R900 Wireless Presenter</t>
  </si>
  <si>
    <t>AIR MOUSE</t>
  </si>
  <si>
    <t>Пульт Air Mouse G20BTS працуює ч/з Bluetooth, безмікрофона</t>
  </si>
  <si>
    <t>Пульт Air Mouse G20S PRO BTS 2,4G+Bluetooth, змікрофоном</t>
  </si>
  <si>
    <t>LCD, LED</t>
  </si>
  <si>
    <t>Універсальний пульт HUAYU RM-L1688(V-0104S+) (ic)</t>
  </si>
  <si>
    <t>Універсальний пульт HUAYU URC6500 8 in 1Netflix, Amazon</t>
  </si>
  <si>
    <t>Універсальний пульт HUAYU для HISENSE RM-L1665(ic) Netflix, Amazon, Rakuten</t>
  </si>
  <si>
    <t>Універсальний пульт HUAYU для SAMSUNG RM-L1613корпус BN59-01312F  (ic)</t>
  </si>
  <si>
    <t>Універсальний пульт HUAYU для SHARP RM-L1678 (ic)YouTube, Netflix</t>
  </si>
  <si>
    <t>Універсальний пульт HUAYU для SKYWORTH RM-L1659(ic) Netflix, YouTube, Amazon</t>
  </si>
  <si>
    <t>Універсальный пульт HUAYU для AKAI RM-081F корпусRC-V7A(ic) 8 кодів</t>
  </si>
  <si>
    <t>Прошиваемые пульты</t>
  </si>
  <si>
    <t>USB БОЛВАН</t>
  </si>
  <si>
    <t>Оригинальные пульты</t>
  </si>
  <si>
    <t>SMART BOX</t>
  </si>
  <si>
    <t>RECEIVER</t>
  </si>
  <si>
    <t>CAM</t>
  </si>
  <si>
    <t>TV+VCR</t>
  </si>
  <si>
    <t>Оригінальний пульт ELENBERG 32BH400, ERGOLE32CT5020JP</t>
  </si>
  <si>
    <t>Оригінальний пульт OZONE HD</t>
  </si>
  <si>
    <t>Оригінальний пульт PHILIPS 398GM10BEPHN0024HT (black) мікрофон, клавіатура NETFLIX YKF463-006</t>
  </si>
  <si>
    <t>Оригінальний пульт TELEFUNKEN з мікрофоном</t>
  </si>
  <si>
    <t>Оригінальный пульт HISENSE ERF2F60H з мікрофоном</t>
  </si>
  <si>
    <t>ГАРАЖНЫЙ</t>
  </si>
  <si>
    <t>Сопутствующие товары</t>
  </si>
  <si>
    <t>БАТАРЕЙКИ</t>
  </si>
  <si>
    <t>Батарейка VIDEX LR03 size AAA 4шт. в полиэтилене</t>
  </si>
  <si>
    <t>Батарейка VIDEX LR06 size AA 4шт. в полиэтилене</t>
  </si>
  <si>
    <t>ПОДАРОК</t>
  </si>
  <si>
    <t>КВАРЦ 455E кгц 2pin</t>
  </si>
  <si>
    <t>КВАРЦ</t>
  </si>
  <si>
    <t>ФЛАЕР</t>
  </si>
  <si>
    <t>ПАКЕТЫ</t>
  </si>
  <si>
    <t>Презентер R400 Wireless Presenter</t>
  </si>
  <si>
    <t>ПРЕЗЕНТЕР</t>
  </si>
  <si>
    <t>РАДИОУДЛИНИТЕЛЬ ПУЛЬТА в разрыв кабеля</t>
  </si>
  <si>
    <t>РАДИОУДЛИН</t>
  </si>
  <si>
    <t>РЕМКОМПЛЕКТ НА ПДУ   без клея!!!</t>
  </si>
  <si>
    <t>РЕМКОМПЛ</t>
  </si>
  <si>
    <t>РЕМКОМПЛЕКТ НА ПДУ   с клеем</t>
  </si>
  <si>
    <t>ТЕСТЕР ДЛЯ КОНДИЦИОНЕРОВ QD-JMY2018 с дисплеем</t>
  </si>
  <si>
    <t>TESTER</t>
  </si>
  <si>
    <t>ЧЕХОЛ</t>
  </si>
  <si>
    <t>ТЕРМОУСАД</t>
  </si>
  <si>
    <t>Прочие товары</t>
  </si>
  <si>
    <t>РАЗЪЕМ</t>
  </si>
  <si>
    <t>СКВ UVC9412-VCDA / VCDF</t>
  </si>
  <si>
    <t>СКВ</t>
  </si>
  <si>
    <t>СКВ UVC9414-VCDA /F (JIN XIN)</t>
  </si>
  <si>
    <t>ТДКС 1342.0006</t>
  </si>
  <si>
    <t>ТДКС</t>
  </si>
  <si>
    <t>ТДКС 40337-49</t>
  </si>
  <si>
    <t>ТДКС 8-598-952-01</t>
  </si>
  <si>
    <t>ТДКС FFA61012K</t>
  </si>
  <si>
    <t>ТДКС FSA36012M</t>
  </si>
  <si>
    <t>ТДКС PET 22-22I / В</t>
  </si>
  <si>
    <t>ТДКС PET 23-09</t>
  </si>
  <si>
    <t>ТДКС PET 32-06</t>
  </si>
  <si>
    <t>ТДКС РЕТ 31-01</t>
  </si>
  <si>
    <r>
      <t xml:space="preserve">Для оперативной обработки заказы присылать на почту: </t>
    </r>
    <r>
      <rPr>
        <b/>
        <i/>
        <sz val="18"/>
        <color indexed="10"/>
        <rFont val="Times New Roman"/>
        <family val="1"/>
      </rPr>
      <t>sales@pulti.ua</t>
    </r>
  </si>
  <si>
    <t xml:space="preserve">viber 050-822-44-99 </t>
  </si>
  <si>
    <t xml:space="preserve"> Telegram канал ОПТ</t>
  </si>
  <si>
    <t>Город, Перевозчик, № склада:</t>
  </si>
  <si>
    <t>Способ оплаты:</t>
  </si>
  <si>
    <t>ФИО</t>
  </si>
  <si>
    <t>Дата формирования прайса</t>
  </si>
  <si>
    <t>Канал для быстрой консультации</t>
  </si>
  <si>
    <t>Кликайте по ссылке и обязательно подписывайтесь на наш телеграм канал для ОПТового покупателя</t>
  </si>
  <si>
    <t>20/07/2022</t>
  </si>
  <si>
    <t>Последнее поступление товара 15/06/22</t>
  </si>
  <si>
    <t>Последнее поступление товара 25/01/22</t>
  </si>
  <si>
    <t>Пульт для AIWA JH32DS700S SATELITE 39H8000ST55F8000ST</t>
  </si>
  <si>
    <t>01.10.22</t>
  </si>
  <si>
    <t>Пульт для AKAI LEA-28U62W TELEFUNKENTF-LED24S40T2 ,TF-LED28S58T2 (ic)</t>
  </si>
  <si>
    <t>Пульт для AOC RC1994719/01, 32S5085, 50U6085 (ic)</t>
  </si>
  <si>
    <t>Пульт для BRAVIS EP-21, LED2868, LED-29A65GRUNHELM</t>
  </si>
  <si>
    <t>Пульт для BRAVIS EP-21, LED2868, LED-29A65 (ic)GRUNHELM</t>
  </si>
  <si>
    <t>Пульт для BRAVIS LED-1615  (ic) білий</t>
  </si>
  <si>
    <t>Пульт для BRAVIS RC01-S512 (ic),  RC01-V59, ERGOLE19CT1000AU</t>
  </si>
  <si>
    <t>Пульт для CHANGHONG HOF-55D1 3D (ic)Rolsen, Liberton LED3245DWHDR</t>
  </si>
  <si>
    <t>Пульт для CHINA TV 55K8A (ic)  LG, DAEWOO, ELITE,EUROSTAR, KONKA, PANASONIC, WEGA, TVA</t>
  </si>
  <si>
    <t>Пульт для CHINA TV KLX-55K9H DAEWOO, WEGA, LGкорпус SHARP G1342SA</t>
  </si>
  <si>
    <t>Пульт для DEX LE-1970, LE-1980, LT2212, LT2221LT-3240, LE-3245 (ic)</t>
  </si>
  <si>
    <t>Пульт для ELENBERG 32DF4330 (ic) DEXP TZH-213DH32D7000M</t>
  </si>
  <si>
    <t>Пульт для ELENBERG 32DH5330, ERISSON 55ULES85 (ic)ERISSON 49ULES85T2SM</t>
  </si>
  <si>
    <t>Пульт для ERGO LE32CT5520AK MOUSE</t>
  </si>
  <si>
    <t>Пульт для ERISSON LY-3743, HYUNDAI E-3743 (H-TV1404)</t>
  </si>
  <si>
    <t>Пульт для EUROSKY E32LHRT2C</t>
  </si>
  <si>
    <t>Пульт для FUSION HY-079, FLTV-32T24 (ic)  SMART TVTelefunken TF-LED50S10T2, ГОРИЗОНТ 32LE-3181</t>
  </si>
  <si>
    <t>Пульт для HISENSE EN2X27HS (ic)</t>
  </si>
  <si>
    <t>Пульт для HYUNDAI BC-1202 CHI/II GAME, SUPRA, AKIRA</t>
  </si>
  <si>
    <t>Пульт для HYUNDAI BC-1202 CHI/II GAME (ic), SUPRA, AKIRA</t>
  </si>
  <si>
    <t>Пульт для HYUNDAI BC-1202 PP ON/MIX, SV-21N03 (ic), ERISSON, GROL</t>
  </si>
  <si>
    <t>Пульт для JVC KT1157-HH (LT-32M550) KIVI KT-1712,KT-1818 (ic)</t>
  </si>
  <si>
    <t>Пульт для JVC RM-C3231 c Netflix,  FINLUX 1380,VESTEL, TELEFUNKEN</t>
  </si>
  <si>
    <t>Пульт для KIVI RC20 з мікрофоном, Netflix, Youtube /JVC, BLAUPUNKT</t>
  </si>
  <si>
    <t>27.07.22</t>
  </si>
  <si>
    <t>Пульт для KIVI RC79  24HB50BR, 40F510KD (ic)</t>
  </si>
  <si>
    <t>Пульт для KIVI RC80 IR, KT-1818 50URS50GU без мікрофона (ic)</t>
  </si>
  <si>
    <t>Пульт для LG AKB73655802 (ic)  AKB73655861,AKB73655833</t>
  </si>
  <si>
    <t>Пульт для LG AKB73655833 3D білий (ic)</t>
  </si>
  <si>
    <t>Пульт для LG AKB73715634 SMART TV (ic) білий</t>
  </si>
  <si>
    <t>Пульт для LG AKB73756564 (ic)   SMART TV, 3D</t>
  </si>
  <si>
    <t>Пульт для LG AKB74455401 (ic) SMART TV довгий корпус</t>
  </si>
  <si>
    <t>Пульт для LG AKB74475401 (ic) SMART TV короткий корпус, AKB74475472</t>
  </si>
  <si>
    <t>Пульт для LG AKB74475472 (ic) SMART TV,AKB74475401</t>
  </si>
  <si>
    <t>Пульт для LG AKB75095308 NETFLIX, AMAZON (ic)AKB75095315</t>
  </si>
  <si>
    <t>05.08.22</t>
  </si>
  <si>
    <t>Пульт для LG AN-MR500 AKB73975801 Magic Motion, без мікрофона</t>
  </si>
  <si>
    <t>Пульт для PANASONIC N2QAYB001009 (ic) NETFLIX</t>
  </si>
  <si>
    <t>Пульт для PHILIPS 49PUT6101/60, 398GR08BEPHN0013HL(ic), 398GR08BEPHN11HL</t>
  </si>
  <si>
    <t>Пульт для PHILIPS RC-19042011/01 (ic)2004/01, RC-19042003/01</t>
  </si>
  <si>
    <t>Пульт для ROLSEN KEX1D-C23 C6 22 55 84, KEX2D-C6ELECTRON, AVEST</t>
  </si>
  <si>
    <t>Пульт для ROLSEN KEX1D-C47, RAINFORD, ELECTRON, XENON (ic)</t>
  </si>
  <si>
    <t>Пульт для ROMSAT 55UMT16512T2, 32HSH1930T2,AL52D-BSUPRA STV-LC24LT0010W</t>
  </si>
  <si>
    <t>Пульт для RUBIN RC-7 білий</t>
  </si>
  <si>
    <t>Пульт для SAMSUNG AA59-00382A (ic)   як оригінал</t>
  </si>
  <si>
    <t>Пульт для SAMSUNG AA59-00401B (ic)</t>
  </si>
  <si>
    <t>Пульт для SAMSUNG AA59-00465A (ic)</t>
  </si>
  <si>
    <t>Пульт для SAMSUNG AA59-00560A 3D білий (ic) аналогAA59-00581A</t>
  </si>
  <si>
    <t>Пульт для SAMSUNG AA59-00638A 3D (ic)</t>
  </si>
  <si>
    <t>Пульт для SAMSUNG AA59-00793A (ic)</t>
  </si>
  <si>
    <t>Пульт для SAMSUNG AA59-00795A білий (ic)</t>
  </si>
  <si>
    <t>Пульт для SAMSUNG BN59-00507A як оригінал (ic)</t>
  </si>
  <si>
    <t>Пульт для SAMSUNG BN59-00609A як оригінал (ic)</t>
  </si>
  <si>
    <t>Пульт для SAMSUNG BN59-01078A (ic) білий</t>
  </si>
  <si>
    <t>Пульт для SAMSUNG BN59-01178G SMART TV  (ic) білий</t>
  </si>
  <si>
    <t>Пульт для SAMSUNG BN59-01259B (ic) RM-L1350</t>
  </si>
  <si>
    <t>01.08.22</t>
  </si>
  <si>
    <t>Пульт для SAMSUNG BN59-01312B Smart Control, Netflix, Prime Video, RakutenTV чорный</t>
  </si>
  <si>
    <t>Пульт для SAMSUNG BN59-01312F Smart Control, Netflix, Prime Video, WWW, чорный</t>
  </si>
  <si>
    <t>Пульт для SAMSUNG BN59-01330A Smart Control, Netflix, Prime Video, WWW, чорный</t>
  </si>
  <si>
    <t>Пульт для SATURN 24MF, TEDELEX 40AS620 (ic) SUPRAJ-1274</t>
  </si>
  <si>
    <t>Пульт для SATURN NEW LED19C (ic) синие кнопки,LCD-322</t>
  </si>
  <si>
    <t>Пульт для SHARP AQUOS c микрофоном, NETFLIX, PRIMEVIDEO, YOUTUBE</t>
  </si>
  <si>
    <t>Пульт для SHARP G0018KJ (ic)</t>
  </si>
  <si>
    <t>Пульт для SHARP GA296SB GA590SB білий (ic)</t>
  </si>
  <si>
    <t>Пульт для SONY RM-ED007 (ic)</t>
  </si>
  <si>
    <t>Пульт для SONY RM-ED011 черный (ic)</t>
  </si>
  <si>
    <t>Пульт для SONY RM-ED017W білий (ic)</t>
  </si>
  <si>
    <t>Пульт для SUPRA HOF-55D1.3 (STV-LC1995WL) (ic)Rolsen RL-19E1302, РУБИН RB-32SE8</t>
  </si>
  <si>
    <t>Пульт для SUPRA STV-LC32T880WL, ROLSENRL-24E1504T2C (ic)</t>
  </si>
  <si>
    <t>Пульт для TCL 06-520W37-T001X, DEMO THOMSON (ic)SATURN</t>
  </si>
  <si>
    <t>Пульт для TELEFUNKEN RC5117 c Netflix, VESTEL,FINLUX</t>
  </si>
  <si>
    <t>Пульт для TELEFUNKEN TF-LED28S48T2 !!! (ic)  MANTALED 93205, ERISSON/ORION ПТ-101ЖК-100ЦТ</t>
  </si>
  <si>
    <t>Пульт для THOMSON MB-105 (ic) 100% замена RCT-100,RC111TA1G</t>
  </si>
  <si>
    <t>Пульт для XIAOMI XMRM-010 Bluetooth (з мікрофоном)L32M5-5ASP, L43M5-5ASP, L55M5-5ASP, MI-VER.4</t>
  </si>
  <si>
    <t>Пульт для ВИТЯЗЬ 24L301C28 VAR2  (ic)</t>
  </si>
  <si>
    <t>Пульт для ГОРИЗОНТ K-70 білий (ic)</t>
  </si>
  <si>
    <t>Пульт для РУБИН YX-CY309E, RB-19SE5T2C (ic)</t>
  </si>
  <si>
    <t>Пульт для BLACK GLOBO 7010A (ic)</t>
  </si>
  <si>
    <t>Пульт для EUROSKY ES-3011, 3015D</t>
  </si>
  <si>
    <t>Пульт для GEOTEX GTX-R10I PRO, SMART TV BOX A95</t>
  </si>
  <si>
    <t>Пульт для GOLD STAR 8833HD TIGER AIR T2  (ic)D-COLOR DC711HD, SIMAX VA 2103</t>
  </si>
  <si>
    <t>Пульт для GOLD STAR 8833HD, TIGER AIR T2,D-COLOR DC711HD, SIMAX VA 2103</t>
  </si>
  <si>
    <t>Пульт для LORTON S2-33, T2-10, T2-18MYSTERY MMP-75DT2 ic (Вариант 2)</t>
  </si>
  <si>
    <t>Пульт для MAG 250 з обучаємим блоком для TV(ic)</t>
  </si>
  <si>
    <t>Пульт для MAG 254/255 нового образца, з обучаємимблоком для TV (ic)</t>
  </si>
  <si>
    <t>Пульт для MDI DBR-501, MDI DBR-901, TOPBOX (ic)DIVISAT, SELENGA, HOBIT FLASH</t>
  </si>
  <si>
    <t>Пульт для OPENBOX 7 series X-730/750/770</t>
  </si>
  <si>
    <t>Пульт для OPENBOX F-500 NOC код 40BF</t>
  </si>
  <si>
    <t>Пульт для OPENBOX S4 02F9, SKYWAY, NANO 2, GiS8580як оригінал (ic)</t>
  </si>
  <si>
    <t>Пульт для OPTICUM RC-7300L ORTON HD X403p Gi S2026, S2126</t>
  </si>
  <si>
    <t>Пульт для ORTON RC-4060CX, 4160, 4050 Gi S1015,6126, AMIKO 549</t>
  </si>
  <si>
    <t>Пульт для ORTON X80 HDMI як оригінал (ic)</t>
  </si>
  <si>
    <t>Пульт для PANTESAT HD-3800 T2, PEARSAT HD-3810 T2,UKC 7810</t>
  </si>
  <si>
    <t>Пульт для Q-SAT Q-150, Q-149 з обучаємим блоком (ic)</t>
  </si>
  <si>
    <t>Пульт для REXANT RX-521, CADENA SHTA-1511S2 M2,DIVISAT XYX-828, TELANT (ic)</t>
  </si>
  <si>
    <t>Пульт для ROLSEN RDB-525, RDB-526 (ic)PERFEO PF-168 (VAR3) PT-100, PT-505C</t>
  </si>
  <si>
    <t>Пульт для ROMSAT T2050</t>
  </si>
  <si>
    <t>Пульт для ROMSAT T8005HD, WINQUEST T2 mini+, TIGERT2 IPTV MINI</t>
  </si>
  <si>
    <t>Пульт для ROMSAT T8020HD, T8010HD, T8000HD  DVB T2LUMAX DVBT2-555HD, DV-4017HD (ic)</t>
  </si>
  <si>
    <t>Пульт для SAGEMCOM DSI87-1 HD НТВ+ (ic)(DSI74 HD)(187-1HD) NTV+</t>
  </si>
  <si>
    <t>Пульт для SAT INTEGRAL 5050 (ic), STAR-Q 168HD FTAOPEN FOX T2 MINI IR, TELANT DVB-T2</t>
  </si>
  <si>
    <t>Пульт для SAT INTEGRAL 5050,   STAR-Q 168HD FTAOPEN FOX T2 MINI IR, TELANT DVB-T2</t>
  </si>
  <si>
    <t>Пульт для SAT INTEGRAL SP-1219HD NORMA</t>
  </si>
  <si>
    <t>Пульт для SKYPRIME V T2, BRAVIS STB-1108, CADENAHT-1110</t>
  </si>
  <si>
    <t>29.07.22</t>
  </si>
  <si>
    <t>Пульт для SMART TV BOX MXQ-4K MXQ APPS+SETMXQPRO M8S M8N</t>
  </si>
  <si>
    <t>Пульт для SMART TV BOX W95</t>
  </si>
  <si>
    <t>Пульт для SMART TV BOX X92, X98 PRO з обучаємим блоком</t>
  </si>
  <si>
    <t>Пульт для SMART TV BOX X96 (ic) без обучаемого блока</t>
  </si>
  <si>
    <t>Пульт для SMART TV BOX X96 (ic) з обучаємим блоком</t>
  </si>
  <si>
    <t>Пульт для STRONG SRT8201, SRT8202</t>
  </si>
  <si>
    <t>Пульт для TRICOLOR !!!!!!!!GS8300N</t>
  </si>
  <si>
    <t>Пульт для TRIMAX TR-2012 як оригінал (ic)</t>
  </si>
  <si>
    <t>Пульт для UCLAN DENYS H.265 PREMIUM !! з обучаємимблоком</t>
  </si>
  <si>
    <t>Пульт для WORLD VISION FOROS COMBO T2/S2</t>
  </si>
  <si>
    <t>Пульт для WORLD VISION PREMIUM T2-C</t>
  </si>
  <si>
    <t>Пульт для WORLD VISION T38,   SVEN SEE-149, 150,STRONG SRT 8203</t>
  </si>
  <si>
    <t>Пульт для WORLD VISION T55, T55D, T35</t>
  </si>
  <si>
    <t>Пульт для WORLD VISION T62N з обучаємимблоком (ic)</t>
  </si>
  <si>
    <t>Пульт для XTRA TV BOX ROMSAT SEHS-1723 SKARDIN</t>
  </si>
  <si>
    <t>Пульт для BBK RC-437 з функцією STAR (ic)</t>
  </si>
  <si>
    <t>Пульт для ELENBERG DVDP-2404 як оригінал</t>
  </si>
  <si>
    <t>Пульт для LG 6710CDAK09D (ic)</t>
  </si>
  <si>
    <t>Пульт для PANASONIC EUR7711150 AUX, N2QAHB000045</t>
  </si>
  <si>
    <t>Пульт для PIONEER, PANASONIC, DEZA DV-2000 як оригінал</t>
  </si>
  <si>
    <t>Пульт для SHIVAKI DVX-552, BRAVIS як оригінал</t>
  </si>
  <si>
    <t>Пульт для кондиціонера ALPARI GZ-056B-E1, GZ-055B-E1 GALANZ</t>
  </si>
  <si>
    <t>Пульт для кондиціонера ALPARI GZ-1002B-E3 SC0701 GALANZ</t>
  </si>
  <si>
    <t>Пульт для кондиціонера AUX YK-P/002E Loriot</t>
  </si>
  <si>
    <t>Пульт для кондиціонера BeSAT YKR-L/102E</t>
  </si>
  <si>
    <t>Пульт для кондиціонера C&amp;H YAA1FB</t>
  </si>
  <si>
    <t>Пульт для кондиціонера CHIGO ZH/JT-03</t>
  </si>
  <si>
    <t>Пульт для кондиціонера CHIGO ZH/TL-03</t>
  </si>
  <si>
    <t>Пульт для кондиціонера CHIGO ZH/TY-01</t>
  </si>
  <si>
    <t>Пульт для кондиціонера CHIGO CS-23H3-V95AY3 156 </t>
  </si>
  <si>
    <t>Пульт для кондиціонера CHIGO ZH-LW03, KT-CG3E</t>
  </si>
  <si>
    <t>Пульт для кондиціонера DELFA RG53B/BGELEBERG LBS/LBU-FRA08UA  FRA10UA</t>
  </si>
  <si>
    <t>Пульт для кондиціонера ELECTRA RC08A</t>
  </si>
  <si>
    <t>Пульт для кондиціонера ELECTRA RC-3</t>
  </si>
  <si>
    <t>Пульт для кондиціонера GENERAL GOLDYKR-I/001E, SATURN</t>
  </si>
  <si>
    <t>Пульт для кондиціонера GENERAL LUX ZH/TT-02</t>
  </si>
  <si>
    <t>Пульт для кондиціонера GREE 09SN</t>
  </si>
  <si>
    <t>Пульт для кондиціонера GREE YAN1F1 GWH07QB-K3DNA2С</t>
  </si>
  <si>
    <t>Пульт для кондиціонера GREE YAW1F GWH07AAA-K3NNA2A</t>
  </si>
  <si>
    <t>Пульт для кондиціонера GREE YT1F</t>
  </si>
  <si>
    <t>Пульт для кондиціонера HISENSE GD11J1-91</t>
  </si>
  <si>
    <t>Пульт для кондиціонера HONDA HD-12HRA4F 145 AUX</t>
  </si>
  <si>
    <t>Пульт для кондиціонера HPC PT-07H, 09H, 12H, 18H,24H Osaka OST-09 H1</t>
  </si>
  <si>
    <t>Пульт для кондиціонера LG 6711A20077L 187LG 6711A20077N  90032L</t>
  </si>
  <si>
    <t>Пульт для кондиціонера LG KT-LG1 с крышкой</t>
  </si>
  <si>
    <t>Пульт для кондиціонера LG KT-LG2 LG3</t>
  </si>
  <si>
    <t>Пульт для кондиціонера LG AKB73456114  134</t>
  </si>
  <si>
    <t>Пульт для кондиціонера MIDEA BLANC RG70A/BGEF</t>
  </si>
  <si>
    <t>Пульт для кондиціонера MIDEA KOMECO R06 BGCE 106</t>
  </si>
  <si>
    <t>Пульт для кондиціонера MIDEA MISSION RG58B/BGE</t>
  </si>
  <si>
    <t>Пульт для кондиціонера MIDEA R07/BGE HSR-12HRN1, MSR18HRA</t>
  </si>
  <si>
    <t>Пульт для кондиціонера MIDEA R51M/E DEKKER BEKO</t>
  </si>
  <si>
    <t>Пульт для кондиціонера MIDEA RN02A/B (26°C)</t>
  </si>
  <si>
    <t>Пульт для кондиціонера MITSUBISHI 09-01MT</t>
  </si>
  <si>
    <t>Пульт для кондиціонера MITSUBISHI 09-12</t>
  </si>
  <si>
    <t>Пульт для кондиціонера MITSUBISHI MLZ-KA25VA</t>
  </si>
  <si>
    <t>Пульт для кондиціонера MITSUBISHI RKS502A503 111</t>
  </si>
  <si>
    <t>Пульт для кондиціонера MITSUBISHI RKX502A001 246</t>
  </si>
  <si>
    <t>Пульт для кондиціонера ORION GSH-07, 09, 12 GALANZ</t>
  </si>
  <si>
    <t>Пульт для кондиціонера PANASONIC 15-12-093</t>
  </si>
  <si>
    <t>Пульт для кондиціонера PANASONIC A75C2665</t>
  </si>
  <si>
    <t>Пульт для кондиціонера PARKER YX1F, GREE YX1F</t>
  </si>
  <si>
    <t>Пульт для кондиціонера SAMSUNG ARH-1362</t>
  </si>
  <si>
    <t>Пульт для кондиціонера SAMSUNG ARH-2201</t>
  </si>
  <si>
    <t>Пульт для кондиціонера SAMSUNG DB63-03556X003</t>
  </si>
  <si>
    <t>Пульт для кондиціонера SAMSUNG DB93-11115H</t>
  </si>
  <si>
    <t>Пульт для кондиціонера SAMSUNG KT-SS1a</t>
  </si>
  <si>
    <t>Пульт для кондиціонера SATURN ST-07APH AC-41TCL, VIDEOCON</t>
  </si>
  <si>
    <t>Пульт для кондиціонера SATURN ST-07TLHR/Bio</t>
  </si>
  <si>
    <t>Пульт для кондиціонера SATURN YKR-F/002, YKR-F/001HONDA KAISER</t>
  </si>
  <si>
    <t>Пульт для кондиціонера SHARP INVERT</t>
  </si>
  <si>
    <t>Пульт для кондиціонера SIEMENS RG57B/BGE-0573 VER2AC ELECTRIC ACEM/IN-12HN1, OLMO</t>
  </si>
  <si>
    <t>Пульт для кондиціонера SIEMENS RG57B/BGEF 0261 AC ELECTRIC ACEM/IN-12HN1, OLMO</t>
  </si>
  <si>
    <t>Пульт для кондиціонера TCL 07-09</t>
  </si>
  <si>
    <t>Пульт для кондиціонера TCL TAC-09CHSA/XA71 Inverter</t>
  </si>
  <si>
    <t>Пульт для кондиціонера TOSHIBA RAS-09</t>
  </si>
  <si>
    <t>Пульт для кондиціонера VOLTAS YK-H/006E</t>
  </si>
  <si>
    <t>Пульт для кондиціонера YORK 0010401314T</t>
  </si>
  <si>
    <t>Універсальний пульт для кондиц. SAMSUNG KT-SA1089HUAYU</t>
  </si>
  <si>
    <t>Універсальний пульт для кондиціонера CHUNGHOP K-1010E 1000 кодів</t>
  </si>
  <si>
    <t>Універсальний пульт для кондиціонера CHUNGHOP K-108ES 1000 кодів</t>
  </si>
  <si>
    <t>Універсальний пульт для кондиціонера CHUNGHOP K-209ES 1000 кодів</t>
  </si>
  <si>
    <t>Універсальний пульт для кондиціонера CHUNGHOP Q1E1000 кодів</t>
  </si>
  <si>
    <t>Універсальний пульт для кондиціонера HUAYU K-1036E+L 1000 кодів</t>
  </si>
  <si>
    <t>Універсальний пульт для кондиціонера HUAYU K-2E5000 кодів</t>
  </si>
  <si>
    <t>Універсальний пульт для кондиціонера HUAYU K-3E5000 кодів</t>
  </si>
  <si>
    <t>Універсальний пульт для кондиціонера HUAYU K-6100(4000 кодів)</t>
  </si>
  <si>
    <t>Універсальний пульт для кондиціонера KT-518 списокмоделей 2013 року</t>
  </si>
  <si>
    <t>Універсальний пульт для кондиціонера KT-N898 silver 2000 кодів</t>
  </si>
  <si>
    <t>Універсальний пульт для кондиціонера KT-THR012000 кодів</t>
  </si>
  <si>
    <t>Універсальний пульт для кондиціонера LG KT-LG QUNDA</t>
  </si>
  <si>
    <t>Універсальний пульт для кондиціонера LG KT-LG1108HUAYU</t>
  </si>
  <si>
    <t>Універсальний пульт для кондиціонера MIDEA KT-MDIIQUNDA</t>
  </si>
  <si>
    <t>Універсальний пульт для кондиціонера PANASONIC K-PN1122 HUAYU</t>
  </si>
  <si>
    <t>Універсальний пульт для кондиціонера QUNDA KT-3999 4000 кодів</t>
  </si>
  <si>
    <t>Універсальний пульт для кондиціонера QUNDA KT-6018 6000 кодів</t>
  </si>
  <si>
    <t>Універсальний пульт для кондиціонера QUNDA KT-9018 білий 4000 кодів</t>
  </si>
  <si>
    <t>Універсальний пульт для кондиціонера QUNDA KT-AXSATURN, DELFA LIBERTON MIRTA</t>
  </si>
  <si>
    <t>Універсальний пульт для кондиціонера QUNDA KT-CG4ECHIGO ZH/JT-03 SENSEI</t>
  </si>
  <si>
    <t>Універсальний пульт для кондиціонера QUNDA KT-e086000 кодів</t>
  </si>
  <si>
    <t>Універсальний пульт для кондиціонера QUNDA KT-GRGREE EWT</t>
  </si>
  <si>
    <t>Універсальний пульт для кондиціонера QUNDA KT-Y512F ALPARI SUPRA</t>
  </si>
  <si>
    <t>Універсальний пульт для кондиціонера QUNDA1 2000 кодов, сенсорний екран, термометр та гідрометр</t>
  </si>
  <si>
    <t>Універсальний пульт для кондиціонера SAMSUNG KT-SS08, MIDEA,TOSHIBA, HITACHI, PANASONIC, SHARP</t>
  </si>
  <si>
    <t>Обучаємий пульт HUAYU HL-695E, 3 в 1, інструкція російською мовою (ic)</t>
  </si>
  <si>
    <t>Обучаємий пульт HUAYU HL-L1340E (ic)</t>
  </si>
  <si>
    <t>Обучаємий пульт IHandy IH-mini86ES (85E),one-keylearning</t>
  </si>
  <si>
    <t>Пульт Air Mouse Fly T2, 2.4G з гіроскопом,аеромишь</t>
  </si>
  <si>
    <t>Пульт Air Mouse G10BTS работает ч/з Bluetooth, безмікрофона</t>
  </si>
  <si>
    <t>Пульт Air Mouse G10S Pro!!! з підсвіткою та мікрофоном</t>
  </si>
  <si>
    <t>Пульт Air Mouse G10S з мікрофоном</t>
  </si>
  <si>
    <t>Пульт Air Mouse G11M Q8M з мікрофоном,підсвічуванням, на акумуляторі</t>
  </si>
  <si>
    <t>Пульт Air Mouse G20S з мікрофоном</t>
  </si>
  <si>
    <t>Пульт Air Mouse G21 Pro!!! з мікрофоном</t>
  </si>
  <si>
    <t>Пульт Air Mouse G21S з мікрофоном</t>
  </si>
  <si>
    <t>Пульт Air Mouse G30S з мікрофоном, 33 програмовані кнопки</t>
  </si>
  <si>
    <t>Пульт Air Mouse G40S з мікрофоном</t>
  </si>
  <si>
    <t>Пульт Air Mouse G50S з мікрофоном</t>
  </si>
  <si>
    <t>Пульт Air Mouse Keyboard D8 (російська клавіатура, тачпад)</t>
  </si>
  <si>
    <t>Пульт Air Mouse MX3-A з обучаємим блоком(російська клавіатура)</t>
  </si>
  <si>
    <t>Пульт Air Mouse Q1 з підсвічуваннямта мікрофоном</t>
  </si>
  <si>
    <t>Пульт Air Mouse Q2 з підсвічуваннямта мікрофоном</t>
  </si>
  <si>
    <t>Пульт Air Mouse Q5-М з мікрофоном</t>
  </si>
  <si>
    <t>Пульт Air Mouse Q6 з мікрофоном</t>
  </si>
  <si>
    <t>Пульт Air Mouse T1 PRO з мікрофоном</t>
  </si>
  <si>
    <t>Пульт Air Mouse T3-MIC (MX3-M) з мікрофоном</t>
  </si>
  <si>
    <t>Пульт Air Mouse WECHIP W2 мікрофон, російська клавіатура, 10 обучаємих кн., акумулятор, тачпад</t>
  </si>
  <si>
    <t>Пульт для SONY RMF-TX500E з голосовим керуваннямNetflix, Google Play</t>
  </si>
  <si>
    <t>Універсальний HUAYU для POLAR RM-L1057 корпус LCD2020 (ic) 8 кодів IZUMI,SHIVAKI,DNS,ORION,BBK,AKIRA</t>
  </si>
  <si>
    <t>Універсальний пульт FOCUS  20 in 1 Оригінальний</t>
  </si>
  <si>
    <t>Універсальний пульт HUAYU HR-E877 інструкція російська мова (ic)</t>
  </si>
  <si>
    <t>Універсальний пульт HUAYU MXV3ТВ для интерактивного CISCO, MOTOROLA (ic)</t>
  </si>
  <si>
    <t>Універсальний пульт HUAYU PLUS RM-SAT1111+F HD дляHD тюнерів SAT (ic)</t>
  </si>
  <si>
    <t>Універсальний пульт HUAYU RC-820J+D NEW mini дляпроекторів и автодвд (ic)</t>
  </si>
  <si>
    <t>Універсальний пульт HUAYU RM-B553 (ic) для SAT</t>
  </si>
  <si>
    <t>Універсальний пульт HUAYU RM-B773 (ic) для SAT</t>
  </si>
  <si>
    <t>Універсальний пульт HUAYU RM-D1258 ver.2022 (6*40шт=240шт) для DVB-T2 (ic)</t>
  </si>
  <si>
    <t>Універсальний пульт HUAYU RM-D1266+B для SAT+DVB-T2+TV 3in1 (ic)</t>
  </si>
  <si>
    <t>Універсальний пульт HUAYU RM-D1555 DVBT2+TVдля DVB-T2 тюнерів (ic)</t>
  </si>
  <si>
    <t>Універсальний пульт HUAYU RM-D550 корпус 010E</t>
  </si>
  <si>
    <t>Універсальний пульт HUAYU RM-G3900 для LG Smart TV, Netflix, Amazon (ic)</t>
  </si>
  <si>
    <t>Універсальний пульт HUAYU RM-L1098+8 інструкціяросійська мова + фото (ic)</t>
  </si>
  <si>
    <t>Універсальний пульт HUAYU RM-L1120+X інструкціяросійська мова + фото (ic) корпус Y-72C</t>
  </si>
  <si>
    <t>Універсальний пульт HUAYU RM-L1130+8 інструкціяросійська мова + фото (ic)</t>
  </si>
  <si>
    <t>Універсальний пульт HUAYU RM-L1195+8 корпус AA59-00581A (ic)</t>
  </si>
  <si>
    <t>Універсальний пульт HUAYU RM-L1200 для RAINFORD,VESTEL корпус RC-4847 (ic) SHARP, ORION, HITACHI</t>
  </si>
  <si>
    <t>Універсальний пульт HUAYU RM-L1316 (ic)  Smart TV,3D, YouTube, Netflix</t>
  </si>
  <si>
    <t>Універсальний пульт HUAYU RM-L1386 для VESTEL,FINLUX, HITACHI</t>
  </si>
  <si>
    <t>Універсальний пульт HUAYU RM-L1388 Netflix,YouTube</t>
  </si>
  <si>
    <t>Універсальний пульт HUAYU RM-SAT1111+F  для SAT иDVB-T2 тюнерів (ic)</t>
  </si>
  <si>
    <t>Універсальний пульт HUAYU SR-600 для LG Smart TV</t>
  </si>
  <si>
    <t>Універсальний пульт HUAYU SR-7557 для Samsung Smart TV корпус BN59-01182B сумісний з Samsung</t>
  </si>
  <si>
    <t>Універсальний пульт HUAYU URC1566 для LG, SAMSUNG,SONY, PHILIPS, PANASONIC (ic)</t>
  </si>
  <si>
    <t>Універсальний пульт HUAYU URC1568 для LG, SAMSUNG,SONY, PHILIPS, PANASONIC (ic)</t>
  </si>
  <si>
    <t>Універсальний пульт HUAYU ver.2019 DVB-T2+2 (4*50шт=200шт)</t>
  </si>
  <si>
    <t>Універсальний пульт HUAYU VP-001 RM-D1312інструкція рос. мовою, корпус U2C (ic)</t>
  </si>
  <si>
    <t>Універсальний пульт HUAYU VP-002  (4*50шт=200шт)RM-D1155 DVBT2+TV для DVB-T2 тюнерів (ic)</t>
  </si>
  <si>
    <t>Універсальний пульт HUAYU VP-003 RM-L1153SATURN, ELENBERG, LIBERTON корпус CX-507 (ic)</t>
  </si>
  <si>
    <t>Універсальний пульт HUAYU VP-004  (4*50шт=200шт)RM-D1258  HRM1157 для DVB-T2 тюнерів (ic)</t>
  </si>
  <si>
    <t>Універсальний пульт HUAYU для AKIRA RM-577B корпус 0090D(ic) 3 кода</t>
  </si>
  <si>
    <t>Універсальний пульт HUAYU для BBK RM-D711 корпус RC-53 (ic) 3 кода</t>
  </si>
  <si>
    <t>Універсальний пульт HUAYU для BRAVIS RM-L1718 CHANCHONG, JVC YouTube, Netflix, Prime video</t>
  </si>
  <si>
    <t>03.08.22</t>
  </si>
  <si>
    <t>Універсальний пульт HUAYU для CHINA TV RM-164N+(ic)</t>
  </si>
  <si>
    <t>Універсальний пульт HUAYU для CHINA TV RM-840N (ic)</t>
  </si>
  <si>
    <t>Універсальний пульт HUAYU для CHINA TV RM-908 (ic)6 кодів</t>
  </si>
  <si>
    <t>Універсальний пульт HUAYU для CHINA TV RM-909 (ic)</t>
  </si>
  <si>
    <t>Універсальний пульт HUAYU для DAEWOO RM-531DC корпус R40A01 (ic)</t>
  </si>
  <si>
    <t>Універсальний пульт HUAYU для DAEWOO RM-675DC корпус R-49C10 (ic)</t>
  </si>
  <si>
    <t>Універсальний пульт HUAYU для DAEWOO RM-827DC корпус R-55G10 (ic)</t>
  </si>
  <si>
    <t>Універсальний пульт HUAYU для DAEWOO RM-L1553 корпус RC-670PN (ic)</t>
  </si>
  <si>
    <t>Універсальний пульт HUAYU для ELENBERG RM-643FTRONY, SHIVAKI (ic) 8 кодів,</t>
  </si>
  <si>
    <t>Універсальний пульт HUAYU для ERISSON RM-317N корпус 5W63 (ic) 2 кода</t>
  </si>
  <si>
    <t>Універсальний пульт HUAYU для GRUNDIG RM-L1383корпус RC3214803 (ic) BEKO, ARCELIK</t>
  </si>
  <si>
    <t>Універсальний пульт HUAYU для HAIER RM-L1313 (ic)</t>
  </si>
  <si>
    <t>Універсальний пульт HUAYU для HISENSE RM-L1335корпус EN2B27 (ic)</t>
  </si>
  <si>
    <t>Універсальний пульт HUAYU для HISENSE RM-L1335 plus2 корпус EN2B27 (ic)</t>
  </si>
  <si>
    <t>Універсальний пульт HUAYU для HISENSE RM-L1365(ic)</t>
  </si>
  <si>
    <t>Універсальний пульт HUAYU для HISENSE RM-L1575(ic)</t>
  </si>
  <si>
    <t>01.09.22</t>
  </si>
  <si>
    <t>Універсальний пульт HUAYU для HITACHI RM-300B корпус CLE-947 (ic)</t>
  </si>
  <si>
    <t>Універсальний пульт HUAYU для HITACHI RM-791B корпус CLE-964 (ic)</t>
  </si>
  <si>
    <t>Універсальний пульт HUAYU для HITACHI RM-D626 корпус CLE-989 (ic)</t>
  </si>
  <si>
    <t>Універсальний пульт HUAYU для HITACHI RM-L956 корпус CLE-996 (ic)</t>
  </si>
  <si>
    <t>Універсальний пульт HUAYU для HYUNDAI RC-8838+6корпус RС-9381 (ic) 6 кодів</t>
  </si>
  <si>
    <t>Універсальний пульт HUAYU для JVC RM-710R корпусRM-C2020 (ic)</t>
  </si>
  <si>
    <t>Універсальний пульт HUAYU для JVC RM-C530F корпусRM-C1280 (ic)</t>
  </si>
  <si>
    <t>Універсальний пульт HUAYU для JVC RM-L1552 для LCD, LED телевизорів</t>
  </si>
  <si>
    <t>Універсальний пульт HUAYU для LG RM-158CB корпус 112Q(ic)</t>
  </si>
  <si>
    <t>Універсальний пульт HUAYU для LG RM-406CB корпус126R(ic) 2 кода</t>
  </si>
  <si>
    <t>Універсальний пульт HUAYU для LG RM-609CB+ корпус090D (ic) 2 кода</t>
  </si>
  <si>
    <t>Універсальний пульт HUAYU для LG RM-752CB корпусMKJ37815701 (ic)</t>
  </si>
  <si>
    <t>Універсальний пульт HUAYU для LG RM-913CB корпусMKJ37815701 (ic) 2 кода</t>
  </si>
  <si>
    <t>Універсальний пульт HUAYU для LG RM-B1167 корпусAKB72976002 (ic)</t>
  </si>
  <si>
    <t>Універсальний пульт HUAYU для LG RM-B938 корпус AKB72976002 (ic)</t>
  </si>
  <si>
    <t>Універсальний пульт HUAYU для LG RM-D1296 корпусAKB72216902 (ic)</t>
  </si>
  <si>
    <t>Універсальний пульт HUAYU для LG RM-D656 корпус6710T00141K (ic)</t>
  </si>
  <si>
    <t>Універсальний пульт HUAYU для LG RM-D657 корпус MKJ32022838 (ic)</t>
  </si>
  <si>
    <t>Універсальний пульт HUAYU для LG RM-D757 корпус MKJ40653802 (ic)</t>
  </si>
  <si>
    <t>Універсальний пульт HUAYU для LG RM-L1162 корпусAKB73715603 (ic) 3D</t>
  </si>
  <si>
    <t>Універсальний пульт HUAYU для LG RM-L1162V5 NETFLIX, PRIME VIDEO, IVI корпус AKB73715603 (ic)</t>
  </si>
  <si>
    <t>Універсальний пульт HUAYU для LG RM-L1315корпус AKB73616415 (ic)</t>
  </si>
  <si>
    <t>Універсальний пульт HUAYU для LG RM-L1379 (ic)SMART TV, 3D, NETFLIX, AMAZON корпус AKB73715603</t>
  </si>
  <si>
    <t>Універсальний пульт HUAYU для LG RM-L810 корпус AKB33871413 (ic)</t>
  </si>
  <si>
    <t>Універсальний пульт HUAYU для LG RM-L859 корпус AKB69680403 (ic)</t>
  </si>
  <si>
    <t>Універсальний пульт HUAYU для LG RM-L915 корпус AKB72915207 (ic)</t>
  </si>
  <si>
    <t>Універсальний пульт HUAYU для LG RM-L930 корпус AKB72914293 (ic) 3D</t>
  </si>
  <si>
    <t>Універсальний пульт HUAYU для LG RM-L999 корпус AKB72914020 (ic) 3D</t>
  </si>
  <si>
    <t>Універсальний пульт HUAYU для MITSUBISHI RM-011Sкорпус RM-07901 (ic)</t>
  </si>
  <si>
    <t>Універсальний пульт HUAYU для PANASONIC RM-1020Mкорпус EUR7651150 (ic)</t>
  </si>
  <si>
    <t>Універсальний пульт HUAYU для PANASONIC RM-520M корпус N2QAJB000080 (ic)</t>
  </si>
  <si>
    <t>Універсальний пульт HUAYU для PANASONIC RM-532M-3корпус EUR7717010 (ic)  2 кода</t>
  </si>
  <si>
    <t>Універсальний пульт HUAYU для PANASONIC RM-936M корпус N2QAYB000803 (ic)</t>
  </si>
  <si>
    <t>Універсальний пульт HUAYU для PANASONIC RM-D1170корпус N2QAYB000399 (ic)  3D</t>
  </si>
  <si>
    <t>Універсальний пульт HUAYU для PANASONIC RM-D1180Mкорпус N2QAYB000815 (ic)</t>
  </si>
  <si>
    <t>Універсальний пульт HUAYU для PANASONIC RM-D630 корпус EUR7635050 (ic)</t>
  </si>
  <si>
    <t>Універсальний пульт HUAYU для PANASONIC RM-D920+корпус N2QAYB000399 (ic)</t>
  </si>
  <si>
    <t>Універсальний пульт HUAYU для PANASONIC RM-L1268корпус N2QAYB001009 (ic)</t>
  </si>
  <si>
    <t>Універсальний пульт HUAYU для PANASONIC RM-L1378(ic) корпус N2QAYB000399</t>
  </si>
  <si>
    <t>Універсальний пульт HUAYU для PHILIPS RM-022C корпус RC-2835 (ic)</t>
  </si>
  <si>
    <t>Універсальний пульт HUAYU для PHILIPS RM-120C корпус RC-19339001\01 (ic)</t>
  </si>
  <si>
    <t>Універсальний пульт HUAYU для PHILIPS RM-797Z корпус RC-4401 (ic)</t>
  </si>
  <si>
    <t>Універсальний пульт HUAYU для PHILIPS RM-D1000Wкорпус RC-4495 (ic)</t>
  </si>
  <si>
    <t>Універсальний пульт HUAYU для PHILIPS RM-D627C корпус RC-2023601\01 (ic)</t>
  </si>
  <si>
    <t>Універсальний пульт HUAYU для PHILIPS RM-D631 корпус RC-1683701\01 (ic)</t>
  </si>
  <si>
    <t>Універсальний пульт HUAYU для PHILIPS RM-D691C корпус RC-2034301\01 (ic)</t>
  </si>
  <si>
    <t>Універсальний пульт HUAYU для PHILIPS RM-D727 корпус RC-4344 (ic) 2 кода</t>
  </si>
  <si>
    <t>Універсальний пульт HUAYU для PHILIPS RM-L1030корпус 2422 549 02543 (ic)</t>
  </si>
  <si>
    <t>Універсальний пульт HUAYU для PHILIPS RM-L1125+ !!корпус 9965 900 00449 (ic)</t>
  </si>
  <si>
    <t>Універсальний пульт HUAYU для PHILIPS RM-L1128корпус 2422 549 90477 (ic)</t>
  </si>
  <si>
    <t>Універсальний пульт HUAYU для PHILIPS RM-L1220корпус RC9965 900 09748 (ic)</t>
  </si>
  <si>
    <t>Універсальний пульт HUAYU для PHILIPS RM-L1225 !!корпус RC9965 900 09443 (ic)</t>
  </si>
  <si>
    <t>Універсальний пульт HUAYU для PHILIPS RM-L1285корпус RC9965 900 09748 (ic)</t>
  </si>
  <si>
    <t>Універсальний пульт HUAYU для PHILIPS RM-L1660AMBILIGHT, NETFLIX, YOUTUBE, RakutenTV, SMART TV</t>
  </si>
  <si>
    <t>Універсальний пульт HUAYU для PHILIPS RM-PH07 корпус RC-1553814\01 (ic)</t>
  </si>
  <si>
    <t>Універсальний пульт HUAYU для PIONEER RM-D761 корпус VXX2913 (ic) 3 кода</t>
  </si>
  <si>
    <t>Універсальний пульт HUAYU для PIONEER RM-D975 корпус AXD1552 (ic)</t>
  </si>
  <si>
    <t>Універсальний пульт HUAYU для ROLSEN RM-563BFC корпус K10N-C5 (ic)</t>
  </si>
  <si>
    <t>Універсальний пульт HUAYU для SAMSUNG RM-016FC корпус 00198G (ic) 2 кода</t>
  </si>
  <si>
    <t>Універсальний пульт HUAYU для SAMSUNG RM-179FC корпус 00332A (ic) 2 кода</t>
  </si>
  <si>
    <t>Універсальний пульт HUAYU для SAMSUNG RM-552FC корпус BN59-00370B (ic)</t>
  </si>
  <si>
    <t>Універсальний пульт HUAYU для SAMSUNG RM-625F корпус BN9-00382A (ic)</t>
  </si>
  <si>
    <t>Універсальний пульт HUAYU для SAMSUNG RM-658F корпус AA59-00401B (ic)</t>
  </si>
  <si>
    <t>Універсальний пульт HUAYU для SAMSUNG RM-D1078 корпус AA59-00581A (ic)</t>
  </si>
  <si>
    <t>Універсальний пульт HUAYU для SAMSUNG RM-D1087BLU-RAY (ic)</t>
  </si>
  <si>
    <t>Універсальний пульт HUAYU для SAMSUNG RM-D507 корпус 00011K (ic)</t>
  </si>
  <si>
    <t>Універсальний пульт HUAYU для SAMSUNG RM-D613 корпус BN9-00604A (ic)</t>
  </si>
  <si>
    <t>Універсальний пульт HUAYU для SAMSUNG RM-D673 корпус 00054B (ic)</t>
  </si>
  <si>
    <t>Універсальний пульт HUAYU для SAMSUNG RM-D762 корпус BN59-00949-00937A (ic)</t>
  </si>
  <si>
    <t>Універсальний пульт HUAYU для SAMSUNG RM-D935 корпус AH59-02131B (ic)</t>
  </si>
  <si>
    <t>Універсальний пульт HUAYU для SAMSUNG RM-L1015 корпус BN59-01037A (ic)</t>
  </si>
  <si>
    <t>Універсальний пульт HUAYU для SAMSUNG RM-L1088 корпус AA59-00741A (ic)</t>
  </si>
  <si>
    <t>Універсальний пульт HUAYU для SAMSUNG RM-L1593корпус BN59-01312F  (ic)</t>
  </si>
  <si>
    <t>Універсальний пульт HUAYU для SAMSUNG RM-L1598 корпус AA59-00581A (ic) NETFLIX, AMAZON</t>
  </si>
  <si>
    <t>Універсальний пульт HUAYU для SAMSUNG RM-L800 корпус BN59-00942A (ic)</t>
  </si>
  <si>
    <t>Універсальний пульт HUAYU для SAMSUNG RM-L888 корпус BN59-00890A (ic)</t>
  </si>
  <si>
    <t>Універсальний пульт HUAYU для SAMSUNG RM-L919 корпус BN59-01039A (ic)</t>
  </si>
  <si>
    <t>Універсальний пульт HUAYU для SANYO RM-632B корпус (ic)</t>
  </si>
  <si>
    <t>Універсальний пульт HUAYU для SHARP RM-026G-3корпус G1342 (ic)</t>
  </si>
  <si>
    <t>Універсальний пульт HUAYU для SHARP RM-104G корпусG1095PESA (ic)</t>
  </si>
  <si>
    <t>Універсальний пульт HUAYU для SHARP RM-638G корпусGA296SA (ic)</t>
  </si>
  <si>
    <t>Універсальний пульт HUAYU для SHARP RM-L1026 корпус GA841WJSA (ic)</t>
  </si>
  <si>
    <t>Універсальний пульт HUAYU для SHARP RM-L1046 3D(ic)</t>
  </si>
  <si>
    <t>Універсальний пульт HUAYU для SHARP RM-L1238 (ic)</t>
  </si>
  <si>
    <t>Універсальний пульт HUAYU для SHARP RM-L1346 (ic)</t>
  </si>
  <si>
    <t>Універсальний пульт HUAYU для SKYWORTH RM-L1359 (ic) STOP MAKE</t>
  </si>
  <si>
    <t>Універсальний пульт HUAYU для SKYWORTH RM-L1592(ic)</t>
  </si>
  <si>
    <t>Універсальний пульт HUAYU для SONY RM-1025A (ic)</t>
  </si>
  <si>
    <t>Універсальний пульт HUAYU для SONY RM-191A+ корпус W103(ic)</t>
  </si>
  <si>
    <t>Універсальний пульт HUAYU для SONY RM-715A корпусRM-ED009 (ic)</t>
  </si>
  <si>
    <t>Універсальний пульт HUAYU для SONY RM-D1065 корпусRM-ADP053 (ic)</t>
  </si>
  <si>
    <t>Універсальний пульт HUAYU для SONY RM-D959 корпусRM-ED045 (ic)</t>
  </si>
  <si>
    <t>Універсальний пульт HUAYU для SONY RM-D998 3D (ic)корпус RM-ED032</t>
  </si>
  <si>
    <t>Універсальний пульт HUAYU для SONY RM-L1165 3D корпус RM-ED047 (ic)</t>
  </si>
  <si>
    <t>Універсальний пульт HUAYU для SONY RM-L1185корпус RM-ED054 (ic)</t>
  </si>
  <si>
    <t>Універсальний пульт HUAYU для SONY RM-L1275 3D (ic) корпус RMT-TX100D</t>
  </si>
  <si>
    <t>Універсальний пульт HUAYU для SONY RM-L1351 (ic)корпус RMT-TX300E</t>
  </si>
  <si>
    <t>Універсальний пульт HUAYU для SONY RM-L1370 (ic)корпус RMT-TX300E</t>
  </si>
  <si>
    <t>Універсальний пульт HUAYU для SONY RM-L1675 (ic)Netflix, YouTube</t>
  </si>
  <si>
    <t>Універсальний пульт HUAYU для SUPRA RM-L1042 корпус RCF3B (ic)</t>
  </si>
  <si>
    <t>Універсальний пульт HUAYU для TCL RM-L1018, 8 кодов корпус RC3000M11 (ic)</t>
  </si>
  <si>
    <t>Універсальний пульт HUAYU для TCL RM-L1508+ корпусRC802N (ic) Netflix</t>
  </si>
  <si>
    <t>Універсальний пульт HUAYU для THOMSON RM-549T (ic)корпус RC111TA1G</t>
  </si>
  <si>
    <t>Універсальний пульт HUAYU для THOMSON RM-D811 (ic)</t>
  </si>
  <si>
    <t>Універсальний пульт HUAYU для THOMSON RM-L1330+2 корпус FH110816 3D SMART TV(ic)</t>
  </si>
  <si>
    <t>Універсальний пульт HUAYU для TOSHIBA RM-162B корпус CT-90119 (ic)</t>
  </si>
  <si>
    <t>Універсальний пульт HUAYU для TOSHIBA RM-D602 (ic)</t>
  </si>
  <si>
    <t>Універсальний пульт HUAYU для TOSHIBA RM-L1028 корпус CT-90345 (ic)</t>
  </si>
  <si>
    <t>Універсальний пульт HUAYU для TOSHIBA RM-L1278 3Dкорпус CT-8035 (ic)</t>
  </si>
  <si>
    <t>Універсальний пульт HUAYU для TOSHIBA RM-L13283D SMART TV (ic) корпус CT-90428</t>
  </si>
  <si>
    <t>Універсальний пульт HUAYU для TOSHIBA RM-L890+корпус CT-90386 (ic)</t>
  </si>
  <si>
    <t>Універсальний пульт HUAYU для XIAOMI IR TV RM-S1 HRM1398 (ic)</t>
  </si>
  <si>
    <t>Універсальний пульт HUAYU для ZALA IPTV 4 in 1 HOB988 (ic)</t>
  </si>
  <si>
    <t>Універсальний пульт HUAYU для ГОРИЗОНТ RM-588C корпус Bp-6 (ic)</t>
  </si>
  <si>
    <t>Універсальний пульт iHandy для SAT AUN0442+ (ic)</t>
  </si>
  <si>
    <t>Універсальний пульт MAK ZIP 500 (DVD) Оригінальний</t>
  </si>
  <si>
    <t>Універсальний пульт MARKUS  8 in 1 Оригінальний</t>
  </si>
  <si>
    <t>Універсальний пульт Penguin RM-09RUS mini</t>
  </si>
  <si>
    <t>Універсальний пульт RM-G1800 v1 для Samsung SmartTV c голосовим керуванням, корпус BN59-01274A</t>
  </si>
  <si>
    <t xml:space="preserve">Універсальний пульт RM-J1300 для Samsung SmartTV c голосовим керуванням, корпус BN59-01270A </t>
  </si>
  <si>
    <t>Універсальний пульт RM-V202 (4in1)</t>
  </si>
  <si>
    <t>Універсальний пульт для  XIAOMI MI-BT01з голосовим керуванням, Netflix, YouTube (ic)</t>
  </si>
  <si>
    <t>Універсальний пульт для CHANGHONG CHG-V1-W SmartTV з голосовим керуванням, Netflix, YouTube (ic)</t>
  </si>
  <si>
    <t>Універсальний пульт для CHANGHONG CHG-V2-W SmartTV з голосовим керуванням, APP, YouTube (ic)</t>
  </si>
  <si>
    <t>Універсальний пульт для HAIER BAUHN HE-V1 SmartTV з голосовим керуванням, Netflix, YouTube</t>
  </si>
  <si>
    <t>Універсальний пульт для JVC RM-C530F корпус RM-C1280</t>
  </si>
  <si>
    <t>Універсальний пульт для LG RM-609CB корпус 090D 2кода</t>
  </si>
  <si>
    <t>Універсальний пульт для LG RM-L1162</t>
  </si>
  <si>
    <t>Універсальний пульт для PANASONIC PN-V1 SmartTV з голосовим керуванням, Netflix</t>
  </si>
  <si>
    <t>Універсальний пульт для PANASONIC PN-V2 SmartTV з голосовим керуванням, Netflix, PrimeVideo</t>
  </si>
  <si>
    <t>Універсальний пульт для PANASONIC RM-520M корпусN2QAJB000080</t>
  </si>
  <si>
    <t>Універсальний пульт для PHILIPS PH-V1 SmartTV з голосовим керуванням, Netflix, Rakuten</t>
  </si>
  <si>
    <t>Універсальний пульт для PHILIPS RM-120C корпус RC-19339001\01</t>
  </si>
  <si>
    <t>Універсальний пульт для SAMSUNG RM-179F корпус AA59-00332A 2 кода</t>
  </si>
  <si>
    <t>Універсальний пульт для Samsung RM-G2100 v1 SmartTV з голосовим керуванням, корпус BN59-01274A</t>
  </si>
  <si>
    <t>Універсальний пульт для SAMSUNG RM-L1088</t>
  </si>
  <si>
    <t>Універсальний пульт для SHARP SH-V1 SmartTV з голосовим керуванням</t>
  </si>
  <si>
    <t>Універсальний пульт для SKYWORTH SW-V1 SmartTV з голосовим керуванням, Netflix, YouTube</t>
  </si>
  <si>
    <t>Універсальний пульт для TCL RC901VFAR1 SmartTV з голосовим керуванням, корпус TCL RC901</t>
  </si>
  <si>
    <t>Універсальний пульт для THOMSON TH-V1 SmartTV з голосовим керуванням</t>
  </si>
  <si>
    <t>Універсальний пульт для VESTEL VS-V1 SmartTV з голосовим керуванням</t>
  </si>
  <si>
    <t>Програмований USB пульт CHANGER 4:1 HR-56G+miniTV (на 2 батарейки)</t>
  </si>
  <si>
    <t>Програмований USB пульт CHANGER HIFI mini DVD new</t>
  </si>
  <si>
    <t>Програмований USB пульт CHANGER LM-U009 4:1 DTT</t>
  </si>
  <si>
    <t>Програмований USB пульт CHANGER PROJECTOR mininew чорний</t>
  </si>
  <si>
    <t>Програмований USB пульт CHANGER PROJECTOR mininew білий</t>
  </si>
  <si>
    <t>Програмований USB пульт CHANGER YX27 HOTEL</t>
  </si>
  <si>
    <t>Програмований пульт CLR79815-E4  4:1 черезпрограматор CLR7108</t>
  </si>
  <si>
    <t>Програмований пульт CLR79843-E4  4:1 черезпрограматор CLR7108</t>
  </si>
  <si>
    <t>Оригінальний ключ-донгл LG EAT61673601 Magic Motion 300 серия</t>
  </si>
  <si>
    <t>Оригінальний пульт ANDERIC EN2A27, HISENSE, SHARP</t>
  </si>
  <si>
    <t>Оригінальний пульт AOC 398GR08BEAC01R</t>
  </si>
  <si>
    <t>Оригінальний пульт AOC 398GRABD2NEACT</t>
  </si>
  <si>
    <t>Оригінальний пульт AOC 398GRABDGNEACC</t>
  </si>
  <si>
    <t>Оригінальний пульт BBK DL373S</t>
  </si>
  <si>
    <t>Оригінальний пульт BBK DL383S</t>
  </si>
  <si>
    <t>Оригінальний пульт BBK FSW-081R</t>
  </si>
  <si>
    <t>Оригінальний пульт BBK PV300S/PV430T</t>
  </si>
  <si>
    <t>Оригінальний пульт BBK RC022-03R</t>
  </si>
  <si>
    <t>Оригінальний пульт BBK RC026-10R</t>
  </si>
  <si>
    <t>Оригінальний пульт BEKO TH-493 MENU silver [TV]</t>
  </si>
  <si>
    <t>Оригінальний пульт BEKO TH-493 MENU серый [TV]</t>
  </si>
  <si>
    <t>Оригінальний пульт CAR RC: PANASONIC YEFX9992663</t>
  </si>
  <si>
    <t>Оригінальний пульт CAR RC: SUPRA SDD-3001, SOUNDMAX, PROLOGY</t>
  </si>
  <si>
    <t>Оригінальний пульт CHANGHONG K16C-C1</t>
  </si>
  <si>
    <t>Оригінальний пульт DAEWOO R-40A06</t>
  </si>
  <si>
    <t>Оригінальний пульт DEX DVP-628/688AV [THEATR]</t>
  </si>
  <si>
    <t>Оригінальний пульт DEXP 34018478</t>
  </si>
  <si>
    <t>Оригінальний пульт DEXP 34019641</t>
  </si>
  <si>
    <t>Оригінальний пульт DEXP CX509-DTV</t>
  </si>
  <si>
    <t>Оригінальний пульт DREAM BOX DM-500S</t>
  </si>
  <si>
    <t>Оригінальний пульт ERGO LE40CT5030AKLIBERTON 43TH2</t>
  </si>
  <si>
    <t>Оригінальний пульт ERGO LE43CU6530AK</t>
  </si>
  <si>
    <t>Оригінальний пульт HAIER HTR-A10</t>
  </si>
  <si>
    <t>Оригінальний пульт HAIER HTR-D06A</t>
  </si>
  <si>
    <t>Оригінальний пульт HAIER RC20</t>
  </si>
  <si>
    <t>Оригінальний пульт HILTON 2100-EDR0HILTHILTON 32SH1, 32SH2, 32SH3</t>
  </si>
  <si>
    <t>Оригінальний пульт HITACHI CLE-995</t>
  </si>
  <si>
    <t>Оригінальний пульт HYUNDAI H-LCD1510</t>
  </si>
  <si>
    <t>Оригінальний пульт INEXT TV4/4K, ULTRA, TV3,4KTV, 4K2</t>
  </si>
  <si>
    <t>Оригінальний пульт JVC RM-C1261</t>
  </si>
  <si>
    <t>Оригінальний пульт JVC RM-C2503</t>
  </si>
  <si>
    <t>Оригінальний пульт JVC RM-C364 [TV] серый</t>
  </si>
  <si>
    <t>Оригінальний пульт JVC RM-SDR045E [THEATR]</t>
  </si>
  <si>
    <t>Оригінальний пульт JVC RM-SMXJ550R [ AUX]</t>
  </si>
  <si>
    <t>Оригінальний пульт JVC RM-SX057A [DVD]</t>
  </si>
  <si>
    <t>Оригінальний пульт KIVI RC30, RC50 з мікрофоном</t>
  </si>
  <si>
    <t>Оригінальний пульт KONKA KK-Y113</t>
  </si>
  <si>
    <t>Оригінальний пульт KONKA KK-Y216</t>
  </si>
  <si>
    <t>Оригінальний пульт LG 105-088G [TV]</t>
  </si>
  <si>
    <t>Оригінальний пульт LG 105-210A [TV]</t>
  </si>
  <si>
    <t>Оригінальний пульт LG 105-224P [TV]</t>
  </si>
  <si>
    <t>Оригінальний пульт LG 6710900016A [TV]</t>
  </si>
  <si>
    <t>Оригінальний пульт LG 6710CDAG01A [THEATR]</t>
  </si>
  <si>
    <t>Оригінальний пульт LG 6710CDAK01A [THEATR]</t>
  </si>
  <si>
    <t>Оригінальний пульт LG 6710CDAK09D [THEATR]</t>
  </si>
  <si>
    <t>Оригінальний пульт LG 6710CDAK12B [THEATR]</t>
  </si>
  <si>
    <t>Оригінальний пульт LG 6710CDAL01G [THEATR]</t>
  </si>
  <si>
    <t>Оригінальний пульт LG 6710CDAL01H [THEATR]</t>
  </si>
  <si>
    <t>Оригінальний пульт LG 6710CDAL03C [THEATR]</t>
  </si>
  <si>
    <t>Оригінальний пульт LG 6710CDAQ01D [THEATR]</t>
  </si>
  <si>
    <t>Оригінальний пульт LG 6710CDAQ02A [THEATR]</t>
  </si>
  <si>
    <t>Оригінальний пульт LG 6710CDAQ05C [THEATR]</t>
  </si>
  <si>
    <t>Оригінальний пульт LG 6710CDAT01С [THEATR]</t>
  </si>
  <si>
    <t>Оригінальний пульт LG 6710CDAT04B [THEATR]</t>
  </si>
  <si>
    <t>Оригінальний пульт LG 6710CDAT06D [THEATR]</t>
  </si>
  <si>
    <t>Оригінальний пульт LG 6710CMAQ02A [AUX]</t>
  </si>
  <si>
    <t>Оригінальний пульт LG 6710RC9C08A [AUX]</t>
  </si>
  <si>
    <t>Оригінальний пульт LG 6710T00008B [TV]</t>
  </si>
  <si>
    <t>Оригінальний пульт LG 6710T00017V [TV]</t>
  </si>
  <si>
    <t>Оригінальний пульт LG 6710V00007A [TV]</t>
  </si>
  <si>
    <t>Оригінальний пульт LG 6710V00008A [TV]</t>
  </si>
  <si>
    <t>Оригінальний пульт LG 6710V00009K [TV]</t>
  </si>
  <si>
    <t>Оригінальний пульт LG 6710V00017F [TV]</t>
  </si>
  <si>
    <t>Оригінальний пульт LG 6710V00017H [TV]</t>
  </si>
  <si>
    <t>Оригінальний пульт LG 6710V00017N [TV]</t>
  </si>
  <si>
    <t>Оригінальний пульт LG 6710V00044C [TV]</t>
  </si>
  <si>
    <t>Оригінальний пульт LG 6710V00049W [PLAZMA]</t>
  </si>
  <si>
    <t>Оригінальний пульт LG 6710V00077T [TV]</t>
  </si>
  <si>
    <t>Оригінальний пульт LG 6710V00077U [TV]</t>
  </si>
  <si>
    <t>Оригінальний пульт LG 6710V00082R [TV]</t>
  </si>
  <si>
    <t>Оригінальний пульт LG 6710V00084U [PLAZMA]</t>
  </si>
  <si>
    <t>Оригінальний пульт LG 6710V00091G [PLAZMA]</t>
  </si>
  <si>
    <t>Оригінальний пульт LG 6710V00100Q [PLAZMA]</t>
  </si>
  <si>
    <t>Оригінальний пульт LG 6710V00124E [TV]</t>
  </si>
  <si>
    <t>Оригінальний пульт LG 6710V00124Y [TV]</t>
  </si>
  <si>
    <t>Оригінальний пульт LG 6710V00125C [PLAZMA]</t>
  </si>
  <si>
    <t>Оригінальний пульт LG 6710V00126H [TV]</t>
  </si>
  <si>
    <t>Оригінальний пульт LG 6710V00126P [TV]</t>
  </si>
  <si>
    <t>Оригінальний пульт LG 6710V00126R [TV]</t>
  </si>
  <si>
    <t>Оригінальний пульт LG 6710V00138E [TV]</t>
  </si>
  <si>
    <t>Оригінальний пульт LG 6710V00145U [TV]</t>
  </si>
  <si>
    <t>Оригінальний пульт LG 6711R1P038C [VCR]</t>
  </si>
  <si>
    <t>Оригінальний пульт LG 6711R1P070C [DVD]</t>
  </si>
  <si>
    <t>Оригінальний пульт LG 6711R1P073B [DVD]</t>
  </si>
  <si>
    <t>Оригінальний пульт LG 6711R1P089B [DVD]</t>
  </si>
  <si>
    <t>Оригінальний пульт LG 6711R1P090F [DVD]</t>
  </si>
  <si>
    <t>Оригінальний пульт LG 6711R1P101B [DVD]</t>
  </si>
  <si>
    <t>Оригінальний пульт LG 6711R2P038B [DVD]</t>
  </si>
  <si>
    <t>Оригінальний пульт LG AKB32245803 [THEATR]</t>
  </si>
  <si>
    <t>Оригінальний пульт LG AKB32273708 [THEATR]</t>
  </si>
  <si>
    <t>Оригінальний пульт LG AKB33871403</t>
  </si>
  <si>
    <t>Оригінальний пульт LG AKB33871406 [TV]</t>
  </si>
  <si>
    <t>Оригінальний пульт LG AKB69680424 [TV]</t>
  </si>
  <si>
    <t>Оригінальний пульт LG AKB72033902</t>
  </si>
  <si>
    <t>Оригінальний пульт LG AKB72911501</t>
  </si>
  <si>
    <t>Оригінальний пульт LG AKB72914208</t>
  </si>
  <si>
    <t>Оригінальний пульт LG AKB72915279 білий</t>
  </si>
  <si>
    <t>Оригінальний пульт LG AKB72956401</t>
  </si>
  <si>
    <t>Оригінальний пульт LG AKB73275605 SMART TV</t>
  </si>
  <si>
    <t>Оригінальний пульт LG AN-MR20GA AKB75855502 IVIMagic Motion</t>
  </si>
  <si>
    <t>Оригінальний пульт LG AN-MR21GA AKB76036201 Netflix, Disney Magic Motion</t>
  </si>
  <si>
    <t>Оригінальний пульт LG AN-MR700 AKB75455601 MagicMotion</t>
  </si>
  <si>
    <t>Оригінальний пульт LG MKJ30036817 [TV]</t>
  </si>
  <si>
    <t>Оригінальний пульт LG MKJ33981404 [TV]</t>
  </si>
  <si>
    <t>Оригінальний пульт LG MKJ33981417</t>
  </si>
  <si>
    <t>Оригінальний пульт LG MKJ37815701</t>
  </si>
  <si>
    <t>Оригінальний пульт LG P007J [VCR]</t>
  </si>
  <si>
    <t>Оригінальний пульт LG PLEER [VCR]</t>
  </si>
  <si>
    <t>Оригінальний пульт LG PLEER рыбка no MENU [VCR]</t>
  </si>
  <si>
    <t>Оригінальний пульт LG PLEER рыбка with MENU [VCR]</t>
  </si>
  <si>
    <t>Оригінальний пульт LIBERTON 2400-ED00LIBRLIBERTON 40AS1FHDTA1, 40AS3FHDTA1</t>
  </si>
  <si>
    <t>Оригінальний пульт LIBERTON 32HL1HD</t>
  </si>
  <si>
    <t>Оригінальний пульт LIBERTON 32MC1HDT</t>
  </si>
  <si>
    <t>Оригінальний пульт LIBERTON 43AS2UHDTA1.5LIBERTON 22HE1FHDT HILTON</t>
  </si>
  <si>
    <t>Оригінальний пульт MARQUANT DVD</t>
  </si>
  <si>
    <t>Оригінальний пульт MEGOGO OASIS ONE MK2</t>
  </si>
  <si>
    <t>Оригінальний пульт MUVID DVD 190-1</t>
  </si>
  <si>
    <t>Оригінальний пульт MYSTERY MTV720, MTV885</t>
  </si>
  <si>
    <t>Оригінальний пульт MYSTERY MTV760CU</t>
  </si>
  <si>
    <t>Оригінальний пульт MYSTERY MTV770, MTV970</t>
  </si>
  <si>
    <t>Оригінальний пульт NOMI 2100-ED0BNOMI 32HT11HILTON 2100-ED00HILT</t>
  </si>
  <si>
    <t>Оригінальний пульт ONIDA 43E6A з мікрофоном</t>
  </si>
  <si>
    <t>Оригінальний пульт ONIDA RC 115/A [TV]</t>
  </si>
  <si>
    <t>Оригінальний пульт ORION DVD-087, CELSIOR</t>
  </si>
  <si>
    <t>Оригінальний пульт ORION HT-891, HT-892, HT-894, BRAVIS</t>
  </si>
  <si>
    <t>Оригінальний пульт ORION PLT-7051, PROLOGY HDTV-705XS</t>
  </si>
  <si>
    <t>Оригінальний пульт ORION PLT7701</t>
  </si>
  <si>
    <t>Оригінальний пульт PANASONIC EUR644666 [TV]</t>
  </si>
  <si>
    <t>Оригінальний пульт PANASONIC EUR7623X90</t>
  </si>
  <si>
    <t>Оригінальний пульт PANASONIC EUR7635040,EUR7635020[LCD TV]</t>
  </si>
  <si>
    <t>Оригінальний пульт PANASONIC EUR7651060 [TV]</t>
  </si>
  <si>
    <t>Оригінальний пульт PANASONIC EUR7662YKO [THEATRE]</t>
  </si>
  <si>
    <t>Оригінальний пульт PANASONIC EUR7717040 [TV]</t>
  </si>
  <si>
    <t>Оригінальний пульт PANASONIC EUR7737760 [PLAZMA]</t>
  </si>
  <si>
    <t>Оригінальний пульт PANASONIC N2QAJB000118 [AUX]</t>
  </si>
  <si>
    <t>Оригінальний пульт PANASONIC N2QAKB000060 [PLAZMA]</t>
  </si>
  <si>
    <t>Оригінальний пульт PANASONIC N2QAYB000011</t>
  </si>
  <si>
    <t>Оригінальний пульт PANASONIC N2QAYB000486</t>
  </si>
  <si>
    <t>Оригінальний пульт PANASONIC N2QAYB000803</t>
  </si>
  <si>
    <t>Оригінальний пульт PHILIPS 2422 549 90416</t>
  </si>
  <si>
    <t>Оригінальний пульт PHILIPS 2422 549 905478712581652494</t>
  </si>
  <si>
    <t>Оригінальний пульт PHILIPS 2422 549 90636з клавіатурою</t>
  </si>
  <si>
    <t>Оригінальний пульт PHILIPS 2422 5490 1652</t>
  </si>
  <si>
    <t>Оригінальний пульт PHILIPS 398GF10BEPH10T клавіатура (рос)  YKF384-T04, 996595006714, E39801</t>
  </si>
  <si>
    <t>Оригінальний пульт PHILIPS 398GR08BEPH04T, 996595006573</t>
  </si>
  <si>
    <t>Оригінальний пульт PHILIPS HOF16F671GPD24, 996596003003, HOF16H037GPD22, HOF16I182GPD23,160923 04505</t>
  </si>
  <si>
    <t>Оригінальний пульт PHILIPS RC-0764/01 [TV]</t>
  </si>
  <si>
    <t>Оригінальний пульт PHILIPS RC1683706/01 [PLAZMA]</t>
  </si>
  <si>
    <t>Оригінальний пульт PHILIPS RC1683801/01 [PLAZMA]</t>
  </si>
  <si>
    <t>Оригінальний пульт PHILIPS RC19245002/01 [DVD]</t>
  </si>
  <si>
    <t>Оригінальний пульт PHILIPS RC19335018/01 [TV]</t>
  </si>
  <si>
    <t>Оригінальний пульт PHILIPS RC-4344 [TV] MATCHLINE</t>
  </si>
  <si>
    <t>Оригінальний пульт PHILIPS RC-4347/01 3 режима</t>
  </si>
  <si>
    <t>Оригінальний пульт PHILIPS RC-7960/01 [VCR]</t>
  </si>
  <si>
    <t>Оригінальний пульт PHILIPS RC-8215/01 silver [TV]</t>
  </si>
  <si>
    <t>Оригінальний пульт PIONEER AXD7355</t>
  </si>
  <si>
    <t>Оригінальний пульт PIONEER AXD7357</t>
  </si>
  <si>
    <t>Оригінальний пульт PIONEER AXD7398</t>
  </si>
  <si>
    <t>Оригінальний пульт PIONEER CU-DV042</t>
  </si>
  <si>
    <t>Оригінальний пульт PIONEER VXX2700</t>
  </si>
  <si>
    <t>Оригінальний пульт PIONEER VXX2702</t>
  </si>
  <si>
    <t>Оригінальний пульт PIONEER XXD3072 [RESIVER]</t>
  </si>
  <si>
    <t>Оригінальний пульт POLAR REMOTE-02, DV-4020,WEST,SVEN</t>
  </si>
  <si>
    <t>Оригінальний пульт REKORD RC-24B</t>
  </si>
  <si>
    <t>Оригінальний пульт ROLSEN K10N-C5</t>
  </si>
  <si>
    <t>Оригінальний пульт ROLSEN K11F-C9, C25, C29</t>
  </si>
  <si>
    <t>Оригінальний пульт ROLSEN KEX1D-C23 черный,</t>
  </si>
  <si>
    <t>Оригінальний пульт ROLSEN KEX2C-C4</t>
  </si>
  <si>
    <t>Оригінальний пульт SAMSUNG 00070A</t>
  </si>
  <si>
    <t>Оригінальний пульт SAMSUNG AA59-00104N [TV]</t>
  </si>
  <si>
    <t>Оригінальний пульт SAMSUNG AA59-00143B [TV]</t>
  </si>
  <si>
    <t>Оригінальний пульт SAMSUNG AA59-00266A [TV]</t>
  </si>
  <si>
    <t>Оригінальний пульт SAMSUNG AA59-00357 [TV]</t>
  </si>
  <si>
    <t>Оригінальний пульт SAMSUNG AA59-00484A [LCD TV]</t>
  </si>
  <si>
    <t>Оригінальний пульт SAMSUNG AH59-01068B [THEATR]</t>
  </si>
  <si>
    <t>Оригінальний пульт SAMSUNG AH59-01128D</t>
  </si>
  <si>
    <t>Оригінальний пульт SAMSUNG AH59-01323D [THEATR]</t>
  </si>
  <si>
    <t>Оригінальний пульт SAMSUNG AH59-01418A [THEATR]</t>
  </si>
  <si>
    <t>Оригінальний пульт SAMSUNG AH59-01510B [THEATR]</t>
  </si>
  <si>
    <t>Оригінальний пульт SAMSUNG AH59-01511A [THEATR]</t>
  </si>
  <si>
    <t>Оригінальний пульт SAMSUNG AH59-01511F [THEATR]</t>
  </si>
  <si>
    <t>Оригінальний пульт SAMSUNG AH59-01527G [THEATR]</t>
  </si>
  <si>
    <t>Оригінальний пульт SAMSUNG AH59-01588B [THEATR]</t>
  </si>
  <si>
    <t>Оригінальний пульт SAMSUNG AH59-01617Q [THEATR]</t>
  </si>
  <si>
    <t>Оригінальний пульт SAMSUNG AH59-01718A [THEATR]</t>
  </si>
  <si>
    <t>Оригінальний пульт SAMSUNG AH59-01787N [THEATR]</t>
  </si>
  <si>
    <t>Оригінальний пульт SAMSUNG AH59-01867J [THEATR]</t>
  </si>
  <si>
    <t>Оригінальний пульт SAMSUNG AH59-02296A</t>
  </si>
  <si>
    <t>Оригінальний пульт SAMSUNG AH59-02338A</t>
  </si>
  <si>
    <t>Оригінальний пульт SAMSUNG AH59-02345A</t>
  </si>
  <si>
    <t>Оригінальний пульт SAMSUNG AH59-02351A</t>
  </si>
  <si>
    <t>Оригінальний пульт SAMSUNG AH59-10080H [AUX]</t>
  </si>
  <si>
    <t>Оригінальний пульт SAMSUNG AK59-00002H</t>
  </si>
  <si>
    <t>Оригінальний пульт SAMSUNG AK59-00052A [DVD+VCR]</t>
  </si>
  <si>
    <t>Оригінальний пульт SAMSUNG AK59-00052D [DVD+VCR]</t>
  </si>
  <si>
    <t>Оригінальний пульт SAMSUNG BN59-00366A [TV]</t>
  </si>
  <si>
    <t>Оригінальний пульт SAMSUNG BN59-00378A [TV]</t>
  </si>
  <si>
    <t>Оригінальний пульт SAMSUNG BN59-00488A [TV]</t>
  </si>
  <si>
    <t>Оригінальний пульт SAMSUNG BN59-00493A [TV]</t>
  </si>
  <si>
    <t>Оригінальний пульт SAMSUNG BN59-00507A [LCD TV]</t>
  </si>
  <si>
    <t>Оригінальний пульт SAMSUNG BN59-00539A [LCD TV]</t>
  </si>
  <si>
    <t>Оригінальний пульт SAMSUNG BN59-00676B білий</t>
  </si>
  <si>
    <t>Оригінальний пульт SAMSUNG BN59-00683A</t>
  </si>
  <si>
    <t>Оригінальний пульт SAMSUNG BN59-00684B білий</t>
  </si>
  <si>
    <t>Оригінальний пульт SAMSUNG BN59-00685A [LCD TV]HDMI</t>
  </si>
  <si>
    <t>Оригінальний пульт SAMSUNG BN59-00705A</t>
  </si>
  <si>
    <t>Оригінальний пульт SAMSUNG BN59-00705B білий</t>
  </si>
  <si>
    <t>Оригінальний пульт SAMSUNG BN59-00886A білий</t>
  </si>
  <si>
    <t>Оригінальний пульт SAMSUNG BN59-01036A</t>
  </si>
  <si>
    <t>Оригінальний пульт SAMSUNG BN59-01084A</t>
  </si>
  <si>
    <t>Оригінальний пульт SAMSUNG BN59-01110A 3D</t>
  </si>
  <si>
    <t>Оригінальний пульт SAMSUNG BN59-01274A Smart Control чорний</t>
  </si>
  <si>
    <t>Оригінальний пульт SAMSUNG BN59-01312B Smart Control чорний, Netflix, Prime Video, RakutenTV</t>
  </si>
  <si>
    <t>Оригінальний пульт SAMSUNG BN59-01312F Smart Control чорный, Netflix, Prime Video, WWW</t>
  </si>
  <si>
    <t>Оригінальний пульт SAMSUNG BN59-01312H Smart Control чорный, Netflix, Prime Video, RakutenTV</t>
  </si>
  <si>
    <t>Оригінальний пульт SAMSUNG BN59-01330B Smart Control чорный, Netflix, Prime Video, RakutenTV</t>
  </si>
  <si>
    <t>Оригінальний пульт SAMSUNG BP59-00008A [TV]</t>
  </si>
  <si>
    <t>Оригінальний пульт SAMSUNG GL59-00096A</t>
  </si>
  <si>
    <t>Оригінальний пульт SAMSUNG GL59-00117A</t>
  </si>
  <si>
    <t>Оригінальний пульт SANYO CS-90283U</t>
  </si>
  <si>
    <t>Оригінальний пульт SANYO RC-2000, 11UV19-2, 11UV30-1</t>
  </si>
  <si>
    <t>Оригінальний пульт SATURN (Akai) RC-1153012 [TV]</t>
  </si>
  <si>
    <t>Оригінальний пульт SHARP GJ221</t>
  </si>
  <si>
    <t>Оригінальний пульт SITRONIKS RC01-54,ONIKS Rc01-54</t>
  </si>
  <si>
    <t>Оригінальний пульт SONY RM-831 [TV]</t>
  </si>
  <si>
    <t>Оригінальний пульт SONY RM-862 [TV]</t>
  </si>
  <si>
    <t>Оригінальний пульт SONY RM-934B [TV] серый</t>
  </si>
  <si>
    <t>Оригінальний пульт SONY RM-934B [TV] чёрный</t>
  </si>
  <si>
    <t>Оригінальний пульт SONY RM-940 [TV]</t>
  </si>
  <si>
    <t>Оригінальний пульт SONY RM-944 [TV]</t>
  </si>
  <si>
    <t>Оригінальний пульт SONY RM-945 [TV]</t>
  </si>
  <si>
    <t>Оригінальний пульт SONY RM-947 [TV]</t>
  </si>
  <si>
    <t>Оригінальний пульт SONY RM-972 [TV]</t>
  </si>
  <si>
    <t>Оригінальний пульт SONY RM-ADP021</t>
  </si>
  <si>
    <t>Оригінальний пульт SONY RM-ADU001 [THEATR]</t>
  </si>
  <si>
    <t>Оригінальний пульт SONY RM-AMU001 [THEATR]1-479-162-12</t>
  </si>
  <si>
    <t>Оригінальний пульт SONY RM-ED001 [LCD TV]</t>
  </si>
  <si>
    <t>Оригінальний пульт SONY RM-ED005 [LCD TV]</t>
  </si>
  <si>
    <t>Оригінальний пульт SONY RMF-TX500E мікрофон, Netflix, Google Play</t>
  </si>
  <si>
    <t>Оригінальний пульт SONY RM-GA002 [TV]</t>
  </si>
  <si>
    <t>Оригінальний пульт SONY RM-SCP500 [AUX]</t>
  </si>
  <si>
    <t>Оригінальний пульт SONY RMT-830 [CAMERA]</t>
  </si>
  <si>
    <t>Оригінальний пульт SONY RMT-D126 [DVD]</t>
  </si>
  <si>
    <t>Оригінальний пульт SONY RMT-D182A</t>
  </si>
  <si>
    <t>Оригінальний пульт SONY RMT-V179A [VCR]</t>
  </si>
  <si>
    <t>Оригінальний пульт SONY RMT-V222C [TV/VCR]</t>
  </si>
  <si>
    <t>Оригінальний пульт SONY RMT-V256 [VCR]</t>
  </si>
  <si>
    <t>Оригінальний пульт SONY RMT-V405A [TV/VCR]</t>
  </si>
  <si>
    <t>Оригінальний пульт SONY RM-U700 [AUX]</t>
  </si>
  <si>
    <t>Оригінальний пульт SONY RM-W100 [TV]</t>
  </si>
  <si>
    <t>Оригінальний пульт SONY RM-Y1103 [PLAZMA]</t>
  </si>
  <si>
    <t>Оригінальний пульт SONY RM-Y1108 [PLAZMA]</t>
  </si>
  <si>
    <t>Оригінальний пульт SUPRA 14N8</t>
  </si>
  <si>
    <t>Оригінальний пульт SUPRA BC3805-02 CHI/II GAME [TV]</t>
  </si>
  <si>
    <t>Оригінальний пульт SUPRA DV-602U. SDV-604U</t>
  </si>
  <si>
    <t>Оригінальний пульт SUPRA RC10W білий</t>
  </si>
  <si>
    <t>Оригінальний пульт SUPRA RC1381-19 S-19L19</t>
  </si>
  <si>
    <t>Оригінальний пульт SUPRA RC18b RCF3b,SATURN LED46A</t>
  </si>
  <si>
    <t>Оригінальний пульт SUPRA RC21b, RCF3b</t>
  </si>
  <si>
    <t>Оригінальний пульт SUPRA RC3b, RC3W</t>
  </si>
  <si>
    <t>Оригінальний пульт SUPRA RC-D010E USB !!!!I</t>
  </si>
  <si>
    <t>Оригінальний пульт SUPRA RC-D010E, ELENBERG, HYUNDAI</t>
  </si>
  <si>
    <t>Оригінальний пульт SUPRA S-24L20</t>
  </si>
  <si>
    <t>Оригінальний пульт SUPRA STV-LC1917WD</t>
  </si>
  <si>
    <t>Оригінальний пульт SUPRA STV-LC2277FL</t>
  </si>
  <si>
    <t>Оригінальний пульт TCL RC3100L09</t>
  </si>
  <si>
    <t>Оригінальний пульт THOMSON RC1994925 [TV]</t>
  </si>
  <si>
    <t>Оригінальний пульт TIGER i250 / i260</t>
  </si>
  <si>
    <t>Оригінальний пульт TOSHIBA CT-8058</t>
  </si>
  <si>
    <t>Оригінальний пульт TOSHIBA CT-90329</t>
  </si>
  <si>
    <t>Оригінальний пульт TOSHIBA SE-R0107 [DVD]</t>
  </si>
  <si>
    <t>Оригінальний пульт WEST DVX5144HD, 5145USB</t>
  </si>
  <si>
    <t>Оригінальний пульт WEST REMOTE-02, SVEN HD-1070</t>
  </si>
  <si>
    <t>Оригінальний пульт WEST TH-002B, ERISSON TH-002B</t>
  </si>
  <si>
    <t>Оригінальний пульт YAMAHA TSS-15 WD76700</t>
  </si>
  <si>
    <t>Оригінальний пульт ZALA білий</t>
  </si>
  <si>
    <t>Оригінальний пульт ZALA черный эфирный</t>
  </si>
  <si>
    <t>Оригінальний пульт ГОРИЗОНТ RC 6-7-2 фосфорный</t>
  </si>
  <si>
    <t>Оригінальний пульт для кондиціонера BEKO R51/E</t>
  </si>
  <si>
    <t>Оригінальний пульт для кондиціонера CHIGO ZH/JA-03</t>
  </si>
  <si>
    <t>Оригінальний пульт для кондиціонера CHIGO ZH/ZH-03, NED</t>
  </si>
  <si>
    <t>Оригінальний пульт для кондиціонера ELECTRA RC-3</t>
  </si>
  <si>
    <t>Оригінальний пульт для кондиціонера ELECTROLUXYR-W06</t>
  </si>
  <si>
    <t>Оригінальний пульт для кондиціонера FRIEDRICHAKB73616106, AKB73616103 QINYUN</t>
  </si>
  <si>
    <t>Оригінальний пульт для кондиціонера FRIGIDAIRE0010401715AX</t>
  </si>
  <si>
    <t>Оригінальний пульт для кондиціонера GREE YT1FGWH07NA-K3NNB1A</t>
  </si>
  <si>
    <t>Оригінальний пульт для кондиціонера GREE YX1F,PARKER YX1F, N2R1425490008</t>
  </si>
  <si>
    <t>Оригінальний пульт для кондиціонера KOMECO0010401996</t>
  </si>
  <si>
    <t>Оригінальний пульт для кондиціонера LG 0010401715AD</t>
  </si>
  <si>
    <t>Оригінальний пульт для кондиціонера MIDEA R07/BGE</t>
  </si>
  <si>
    <t>Оригінальний пульт для кондиціонера MIDEA SENSIA</t>
  </si>
  <si>
    <t>Оригінальний пульт для кондиціонера SAMSUNGDB63-03556X003</t>
  </si>
  <si>
    <t>Оригінальний пульт для кондиціонера SOLEUSAIRZCF/TL-05</t>
  </si>
  <si>
    <t>Оригінальний пульт для кондиціонера SUPRA YKR-H/512E</t>
  </si>
  <si>
    <t>Оригінальний пульт для кондиціонера VOLTAS YK-H/006E</t>
  </si>
  <si>
    <t>Пульт для XIAOMI MI BOX 3 Bluetooth (з мікрофоном)</t>
  </si>
  <si>
    <t>Пульт для XIAOMI MI BOX S Bluetooth Netflix, Live(з мікрофоном) MI-VER.2</t>
  </si>
  <si>
    <t>Пульт для XIAOMI Mi LED TV 4A 32" Bluetooth (з мікрофоном)</t>
  </si>
  <si>
    <t>Пульт для XIAOMI MI TV Bluetooth (з мікрофоном)</t>
  </si>
  <si>
    <t>Пульт для XIAOMI TV STICK Bluetooth (з мікрофоном)NETFLIX&amp;PRIME MI-VER.3</t>
  </si>
  <si>
    <t>Пульт для XIAOMI XMRM-00A Bluetooth, Netflix, PrimeVideo (з мікрофоном) MI-VER.1</t>
  </si>
  <si>
    <t>Пульт для воріт і шлагбаумів AN-MOTORS AT-4 433.92MHz, ALUTECH, динамічний код</t>
  </si>
  <si>
    <t>Пульт для воріт і шлагбаумів BFT MITTO 2 433.92 MHz, динамічний код</t>
  </si>
  <si>
    <t>04.08.22</t>
  </si>
  <si>
    <t>Пульт для воріт і шлагбаумів CAME TOP 432EE 433.92 MHz</t>
  </si>
  <si>
    <t>Пульт для воріт і шлагбаумів CAME TOP 432EV 433.92MHz</t>
  </si>
  <si>
    <t>Пульт для воріт і шлагбаумів CAME TOP 432NA коробка, копія, 433.92MHz</t>
  </si>
  <si>
    <t>Пульт для воріт і шлагбаумів DOORHAN TRANSMITER-4,433.92 MHz, 4-х канальний</t>
  </si>
  <si>
    <t>Пульт для воріт і шлагбаумів FAAC XT2 433 SLH LR433.92 MHz, динамічний код</t>
  </si>
  <si>
    <t>Пульт для воріт і шлагбаумів FAAC XT2 868 SLH868 MHz, динамічний код</t>
  </si>
  <si>
    <t>Пульт для воріт і шлагбаумів NICE ERA INTI 2433.92MHz динамічний код</t>
  </si>
  <si>
    <t>Пульт для воріт і шлагбаумів NICE FLOR-S 433.92 MHz, динамічний код</t>
  </si>
  <si>
    <t>Пульт для воріт і шлагбаумів RMC-168SL 433.92 MHz,статичний код</t>
  </si>
  <si>
    <t>Пульт для воріт і шлагбаумів RMC-235SL 433.92 MHz,статичний код</t>
  </si>
  <si>
    <t>Пульт для воріт і шлагбаумів RMC-255CHML, мультичастотный, статичний та динамічний код</t>
  </si>
  <si>
    <t>Пульт для воріт і шлагбаумів RMC-611 433.92 MHz,статичний код</t>
  </si>
  <si>
    <t>Пульт для воріт і шлагбаумів RMC-Y2K10L 240-520 MHz, статичний код, водонепроникний</t>
  </si>
  <si>
    <t>Пульт для воріт і шлагбаумів SMG-001ST 433.92MHz,4-канальний, статичний код</t>
  </si>
  <si>
    <t>Пульт для воріт і шлагбаумів SMG-002 433.92 MHz,статичний код, 4-канальний</t>
  </si>
  <si>
    <t>Пульт для воріт і шлагбаумів SMG-007 433.92 MHz,статичний код, 4-канальний</t>
  </si>
  <si>
    <t>Пульт для воріт і шлагбаумів SMG-009 433.92 MHz,статичний код, 4-канальний</t>
  </si>
  <si>
    <t>Пульт для воріт і шлагбаумів SMG-233 280-868 MHz,статичний и динамічний код</t>
  </si>
  <si>
    <t>Батарейка TESLER ALKALINE LR03-2 size AAA 2шт. в блістері</t>
  </si>
  <si>
    <t>Батарейка TESLER ALKALINE LR06-2 size AA 2шт. в блістері</t>
  </si>
  <si>
    <t>Батарейка TESLER ECO Series LR03 size AAA 4шт.поліетилен</t>
  </si>
  <si>
    <t>Батарейка TESLER ECO Series LR06 size AA 4шт. поліетилен</t>
  </si>
  <si>
    <t>Батарейка VIDEX ALKALINE LR6 size AA 2шт. блістер</t>
  </si>
  <si>
    <t>Батарейка VIDEX CR2025 блістер</t>
  </si>
  <si>
    <t>Блокнот (ялинка 2021)</t>
  </si>
  <si>
    <t>Дід мороз</t>
  </si>
  <si>
    <t>Новорічна листівка 2022</t>
  </si>
  <si>
    <t>Пакет для пульта (мягкий) 7см*27см (100 штук)цена за упаковку</t>
  </si>
  <si>
    <t>Пакет для пульта ZipLock 8см*18см (100 штук)ціна за упаковку</t>
  </si>
  <si>
    <t>Пакет для пульта ZipLock 8см*25см (100 штук)ціна за упаковку</t>
  </si>
  <si>
    <t>Презентер P016 Wireless Presenter</t>
  </si>
  <si>
    <t>Презентер T5 Wireless Presenter</t>
  </si>
  <si>
    <t>Різдвяний вінок (Картина 2021)</t>
  </si>
  <si>
    <t>Тестер для пультів з дисплеєм HUAYU HY-T860E 24мсхавтоматичний пошук</t>
  </si>
  <si>
    <t>ТЕСТЕР ДЛЯ ПУЛЬТОВ С ДИСПЛЕЕМ QD-JMY2005</t>
  </si>
  <si>
    <t>Фірмовий календар, листівка, Пакет 2022</t>
  </si>
  <si>
    <t>Чохол для пульта CHANGER 4:1 HR-56G (50*195)</t>
  </si>
  <si>
    <t>Чохол-термоусадка на пульт упаковка 5 штук 11см*27см</t>
  </si>
  <si>
    <t>Гніздо KIA SPORTAGE + ISO 000985-</t>
  </si>
  <si>
    <t>Гніздо LG new LB128</t>
  </si>
  <si>
    <t>Гніздо LG new LB128 самонаборной</t>
  </si>
  <si>
    <t>Гніздо PANASONIC 123 LB134</t>
  </si>
  <si>
    <t>Гніздо Евро Blaupunkt iso 16 20200 обратказі штирками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</si>
</sst>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.00_р_._-;\-* #,##0.00_р_._-;_-* &quot;-&quot;??_р_._-;_-@_-"/>
    <numFmt numFmtId="173" formatCode="0.00;[Red]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sz val="10"/>
      <name val="Helv"/>
      <family val="2"/>
    </font>
    <font>
      <b/>
      <sz val="9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u val="single"/>
      <sz val="9"/>
      <color indexed="12"/>
      <name val="Calibri"/>
      <family val="2"/>
    </font>
    <font>
      <b/>
      <i/>
      <sz val="14"/>
      <name val="Times New Roman"/>
      <family val="1"/>
    </font>
    <font>
      <b/>
      <i/>
      <sz val="18"/>
      <color indexed="10"/>
      <name val="Times New Roman"/>
      <family val="1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51" fillId="0" borderId="13" xfId="0" applyFont="1" applyFill="1" applyBorder="1" applyAlignment="1" applyProtection="1">
      <alignment horizontal="center" vertical="center"/>
      <protection/>
    </xf>
    <xf numFmtId="1" fontId="51" fillId="0" borderId="13" xfId="0" applyNumberFormat="1" applyFont="1" applyFill="1" applyBorder="1" applyAlignment="1" applyProtection="1">
      <alignment horizontal="center"/>
      <protection/>
    </xf>
    <xf numFmtId="0" fontId="52" fillId="0" borderId="13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left"/>
      <protection/>
    </xf>
    <xf numFmtId="0" fontId="51" fillId="0" borderId="13" xfId="0" applyFont="1" applyFill="1" applyBorder="1" applyAlignment="1" applyProtection="1">
      <alignment horizontal="left"/>
      <protection/>
    </xf>
    <xf numFmtId="0" fontId="52" fillId="0" borderId="13" xfId="0" applyFont="1" applyFill="1" applyBorder="1" applyAlignment="1" applyProtection="1">
      <alignment wrapText="1"/>
      <protection/>
    </xf>
    <xf numFmtId="0" fontId="51" fillId="0" borderId="13" xfId="0" applyFont="1" applyFill="1" applyBorder="1" applyAlignment="1" applyProtection="1">
      <alignment/>
      <protection/>
    </xf>
    <xf numFmtId="0" fontId="52" fillId="0" borderId="13" xfId="0" applyFont="1" applyFill="1" applyBorder="1" applyAlignment="1" applyProtection="1">
      <alignment/>
      <protection/>
    </xf>
    <xf numFmtId="49" fontId="52" fillId="0" borderId="13" xfId="0" applyNumberFormat="1" applyFont="1" applyFill="1" applyBorder="1" applyAlignment="1" applyProtection="1">
      <alignment/>
      <protection/>
    </xf>
    <xf numFmtId="49" fontId="51" fillId="0" borderId="13" xfId="0" applyNumberFormat="1" applyFont="1" applyFill="1" applyBorder="1" applyAlignment="1" applyProtection="1">
      <alignment wrapText="1"/>
      <protection/>
    </xf>
    <xf numFmtId="0" fontId="41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33" borderId="14" xfId="0" applyFill="1" applyBorder="1" applyAlignment="1" applyProtection="1">
      <alignment horizontal="right" vertical="top"/>
      <protection/>
    </xf>
    <xf numFmtId="0" fontId="0" fillId="33" borderId="14" xfId="0" applyFill="1" applyBorder="1" applyAlignment="1" applyProtection="1">
      <alignment horizontal="right"/>
      <protection/>
    </xf>
    <xf numFmtId="0" fontId="41" fillId="0" borderId="0" xfId="0" applyFont="1" applyFill="1" applyAlignment="1" applyProtection="1">
      <alignment horizontal="center"/>
      <protection/>
    </xf>
    <xf numFmtId="0" fontId="37" fillId="0" borderId="0" xfId="43" applyFill="1" applyAlignment="1" applyProtection="1">
      <alignment horizontal="center"/>
      <protection/>
    </xf>
    <xf numFmtId="0" fontId="51" fillId="34" borderId="13" xfId="0" applyFont="1" applyFill="1" applyBorder="1" applyAlignment="1" applyProtection="1">
      <alignment wrapText="1"/>
      <protection/>
    </xf>
    <xf numFmtId="0" fontId="53" fillId="11" borderId="0" xfId="0" applyFont="1" applyFill="1" applyAlignment="1">
      <alignment/>
    </xf>
    <xf numFmtId="0" fontId="53" fillId="18" borderId="0" xfId="0" applyFont="1" applyFill="1" applyAlignment="1">
      <alignment/>
    </xf>
    <xf numFmtId="49" fontId="12" fillId="35" borderId="0" xfId="0" applyNumberFormat="1" applyFont="1" applyFill="1" applyAlignment="1">
      <alignment horizontal="center"/>
    </xf>
    <xf numFmtId="49" fontId="0" fillId="33" borderId="14" xfId="0" applyNumberFormat="1" applyFill="1" applyBorder="1" applyAlignment="1" applyProtection="1">
      <alignment horizontal="left"/>
      <protection/>
    </xf>
    <xf numFmtId="14" fontId="0" fillId="0" borderId="0" xfId="0" applyNumberForma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5" fillId="15" borderId="0" xfId="0" applyFont="1" applyFill="1" applyAlignment="1" applyProtection="1">
      <alignment wrapText="1"/>
      <protection/>
    </xf>
    <xf numFmtId="0" fontId="5" fillId="33" borderId="0" xfId="0" applyFont="1" applyFill="1" applyAlignment="1" applyProtection="1">
      <alignment wrapText="1"/>
      <protection/>
    </xf>
    <xf numFmtId="0" fontId="5" fillId="14" borderId="0" xfId="0" applyFont="1" applyFill="1" applyAlignment="1" applyProtection="1">
      <alignment wrapText="1"/>
      <protection/>
    </xf>
    <xf numFmtId="49" fontId="9" fillId="0" borderId="13" xfId="0" applyNumberFormat="1" applyFont="1" applyFill="1" applyBorder="1" applyAlignment="1" applyProtection="1">
      <alignment vertical="center" wrapText="1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173" fontId="10" fillId="0" borderId="13" xfId="0" applyNumberFormat="1" applyFont="1" applyFill="1" applyBorder="1" applyAlignment="1" applyProtection="1">
      <alignment horizontal="center"/>
      <protection/>
    </xf>
    <xf numFmtId="0" fontId="51" fillId="34" borderId="13" xfId="0" applyFont="1" applyFill="1" applyBorder="1" applyAlignment="1" applyProtection="1">
      <alignment horizontal="left"/>
      <protection/>
    </xf>
    <xf numFmtId="0" fontId="51" fillId="15" borderId="13" xfId="0" applyFont="1" applyFill="1" applyBorder="1" applyAlignment="1" applyProtection="1">
      <alignment horizontal="left"/>
      <protection/>
    </xf>
    <xf numFmtId="0" fontId="52" fillId="15" borderId="13" xfId="0" applyFont="1" applyFill="1" applyBorder="1" applyAlignment="1" applyProtection="1">
      <alignment wrapText="1"/>
      <protection/>
    </xf>
    <xf numFmtId="0" fontId="51" fillId="33" borderId="13" xfId="0" applyFont="1" applyFill="1" applyBorder="1" applyAlignment="1" applyProtection="1">
      <alignment horizontal="left"/>
      <protection/>
    </xf>
    <xf numFmtId="0" fontId="51" fillId="33" borderId="13" xfId="0" applyFont="1" applyFill="1" applyBorder="1" applyAlignment="1" applyProtection="1">
      <alignment wrapText="1"/>
      <protection/>
    </xf>
    <xf numFmtId="0" fontId="51" fillId="33" borderId="13" xfId="0" applyFont="1" applyFill="1" applyBorder="1" applyAlignment="1" applyProtection="1">
      <alignment horizontal="left"/>
      <protection/>
    </xf>
    <xf numFmtId="0" fontId="52" fillId="33" borderId="13" xfId="0" applyFont="1" applyFill="1" applyBorder="1" applyAlignment="1" applyProtection="1">
      <alignment wrapText="1"/>
      <protection/>
    </xf>
    <xf numFmtId="0" fontId="51" fillId="15" borderId="13" xfId="0" applyFont="1" applyFill="1" applyBorder="1" applyAlignment="1" applyProtection="1">
      <alignment horizontal="left"/>
      <protection/>
    </xf>
    <xf numFmtId="0" fontId="51" fillId="15" borderId="13" xfId="0" applyFont="1" applyFill="1" applyBorder="1" applyAlignment="1" applyProtection="1">
      <alignment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]&#13;&#10;NetWarn=1&#13;&#10;NetMessage=Yes&#13;&#10;rem load=C:\DRV\GMOUSE.COM&#13;&#10;run=&#13;&#10;Beep=yes&#13;&#10;NullPort=None&#13;&#10;BorderWidth=3&#13;&#10;CursorBlinkRa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Гиперссылка 4" xfId="45"/>
    <cellStyle name="Гиперссылка 6" xfId="46"/>
    <cellStyle name="Гиперссылка 8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7</xdr:row>
      <xdr:rowOff>142875</xdr:rowOff>
    </xdr:from>
    <xdr:to>
      <xdr:col>4</xdr:col>
      <xdr:colOff>295275</xdr:colOff>
      <xdr:row>7</xdr:row>
      <xdr:rowOff>285750</xdr:rowOff>
    </xdr:to>
    <xdr:pic>
      <xdr:nvPicPr>
        <xdr:cNvPr id="1" name="Рисунок 2" descr="Как удалить Viber приложение с компьютера? | softlakecity.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15144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8</xdr:row>
      <xdr:rowOff>114300</xdr:rowOff>
    </xdr:from>
    <xdr:to>
      <xdr:col>4</xdr:col>
      <xdr:colOff>285750</xdr:colOff>
      <xdr:row>8</xdr:row>
      <xdr:rowOff>295275</xdr:rowOff>
    </xdr:to>
    <xdr:pic>
      <xdr:nvPicPr>
        <xdr:cNvPr id="2" name="Рисунок 3" descr="Иконка телеграмм: стоковые векторные изображения, иллюстрации |  Depositphoto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29450" y="17907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.me/+ZMpOeuB02D9iNTdi" TargetMode="External" /><Relationship Id="rId2" Type="http://schemas.openxmlformats.org/officeDocument/2006/relationships/hyperlink" Target="https://t.me/+ZMpOeuB02D9iNTdi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7"/>
  <sheetViews>
    <sheetView tabSelected="1" zoomScalePageLayoutView="0" workbookViewId="0" topLeftCell="A1">
      <pane xSplit="1" ySplit="11" topLeftCell="B1107" activePane="bottomRight" state="frozen"/>
      <selection pane="topLeft" activeCell="B1" sqref="B1 B1"/>
      <selection pane="topRight" activeCell="A1" sqref="A1"/>
      <selection pane="bottomLeft" activeCell="A1" sqref="A1"/>
      <selection pane="bottomRight" activeCell="B1109" sqref="B1109"/>
    </sheetView>
  </sheetViews>
  <sheetFormatPr defaultColWidth="9.140625" defaultRowHeight="15"/>
  <cols>
    <col min="1" max="1" width="7.7109375" style="2" customWidth="1"/>
    <col min="2" max="2" width="76.00390625" style="2" customWidth="1"/>
    <col min="3" max="3" width="11.00390625" style="2" customWidth="1"/>
    <col min="4" max="6" width="9.140625" style="2" customWidth="1"/>
    <col min="7" max="7" width="13.8515625" style="2" bestFit="1" customWidth="1"/>
    <col min="8" max="8" width="91.8515625" style="2" bestFit="1" customWidth="1"/>
  </cols>
  <sheetData>
    <row r="1" spans="1:8" s="1" customFormat="1" ht="18" customHeight="1">
      <c r="A1" s="29" t="s">
        <v>1301</v>
      </c>
      <c r="B1" s="29"/>
      <c r="C1" s="29"/>
      <c r="D1" s="29"/>
      <c r="E1" s="29"/>
      <c r="F1" s="29"/>
      <c r="G1" s="17"/>
      <c r="H1" s="17"/>
    </row>
    <row r="2" spans="1:8" ht="15">
      <c r="A2" s="19"/>
      <c r="B2" s="20"/>
      <c r="C2" s="19"/>
      <c r="D2" s="19"/>
      <c r="E2" s="19"/>
      <c r="F2" s="19"/>
      <c r="G2" s="3"/>
      <c r="H2" s="3"/>
    </row>
    <row r="3" spans="1:8" ht="15">
      <c r="A3" s="19"/>
      <c r="B3" s="22" t="s">
        <v>1307</v>
      </c>
      <c r="C3" s="30" t="s">
        <v>1310</v>
      </c>
      <c r="D3" s="30"/>
      <c r="E3" s="31" t="s">
        <v>0</v>
      </c>
      <c r="F3" s="31"/>
      <c r="G3" s="3">
        <f>SUM(D12:D2037)</f>
        <v>0</v>
      </c>
      <c r="H3" s="3"/>
    </row>
    <row r="4" spans="1:8" ht="15">
      <c r="A4" s="19"/>
      <c r="B4" s="23" t="s">
        <v>1306</v>
      </c>
      <c r="C4" s="30"/>
      <c r="D4" s="30"/>
      <c r="E4" s="32" t="s">
        <v>1</v>
      </c>
      <c r="F4" s="32"/>
      <c r="G4" s="3">
        <f>SUM(F12:F2037)</f>
        <v>0</v>
      </c>
      <c r="H4" s="3"/>
    </row>
    <row r="5" spans="1:8" ht="15">
      <c r="A5" s="19"/>
      <c r="B5" s="23" t="s">
        <v>1304</v>
      </c>
      <c r="C5" s="30"/>
      <c r="D5" s="30"/>
      <c r="E5" s="19"/>
      <c r="F5" s="19"/>
      <c r="G5" s="3"/>
      <c r="H5" s="3"/>
    </row>
    <row r="6" spans="1:8" ht="15">
      <c r="A6" s="19"/>
      <c r="B6" s="23" t="s">
        <v>1305</v>
      </c>
      <c r="C6" s="30"/>
      <c r="D6" s="30"/>
      <c r="E6" s="19"/>
      <c r="F6" s="19"/>
      <c r="G6" s="3"/>
      <c r="H6" s="3"/>
    </row>
    <row r="7" spans="1:8" ht="15">
      <c r="A7" s="19"/>
      <c r="B7" s="33" t="s">
        <v>1311</v>
      </c>
      <c r="C7" s="21"/>
      <c r="D7" s="19"/>
      <c r="E7" s="19"/>
      <c r="F7" s="19"/>
      <c r="G7" s="3"/>
      <c r="H7" s="3"/>
    </row>
    <row r="8" spans="1:8" ht="24" customHeight="1">
      <c r="A8" s="18"/>
      <c r="B8" s="34" t="s">
        <v>1312</v>
      </c>
      <c r="C8" s="21"/>
      <c r="E8" s="18"/>
      <c r="F8" s="24" t="s">
        <v>1302</v>
      </c>
      <c r="H8" s="27" t="s">
        <v>1308</v>
      </c>
    </row>
    <row r="9" spans="1:8" ht="24" customHeight="1">
      <c r="A9" s="18"/>
      <c r="B9" s="35" t="s">
        <v>2</v>
      </c>
      <c r="C9" s="21"/>
      <c r="E9" s="18"/>
      <c r="F9" s="25" t="s">
        <v>1303</v>
      </c>
      <c r="H9" s="28" t="s">
        <v>1309</v>
      </c>
    </row>
    <row r="10" spans="1:8" ht="15" customHeight="1" thickBot="1">
      <c r="A10"/>
      <c r="B10"/>
      <c r="C10"/>
      <c r="D10"/>
      <c r="E10"/>
      <c r="F10"/>
      <c r="G10"/>
      <c r="H10"/>
    </row>
    <row r="11" spans="1:8" s="18" customFormat="1" ht="15" customHeight="1" thickBot="1">
      <c r="A11" s="4" t="s">
        <v>3</v>
      </c>
      <c r="B11" s="5" t="s">
        <v>4</v>
      </c>
      <c r="C11" s="5" t="s">
        <v>5</v>
      </c>
      <c r="D11" s="5" t="s">
        <v>6</v>
      </c>
      <c r="E11" s="5" t="s">
        <v>7</v>
      </c>
      <c r="F11" s="5" t="s">
        <v>8</v>
      </c>
      <c r="G11" s="5" t="s">
        <v>9</v>
      </c>
      <c r="H11" s="6" t="s">
        <v>10</v>
      </c>
    </row>
    <row r="12" spans="1:8" s="18" customFormat="1" ht="15" customHeight="1">
      <c r="A12" s="7"/>
      <c r="B12" s="36" t="s">
        <v>11</v>
      </c>
      <c r="C12" s="37"/>
      <c r="D12" s="8"/>
      <c r="E12" s="9"/>
      <c r="F12" s="38"/>
      <c r="G12" s="7"/>
      <c r="H12" s="10"/>
    </row>
    <row r="13" spans="1:8" s="18" customFormat="1" ht="15" customHeight="1">
      <c r="A13" s="11">
        <v>4863</v>
      </c>
      <c r="B13" s="12" t="s">
        <v>1313</v>
      </c>
      <c r="C13" s="13" t="s">
        <v>14</v>
      </c>
      <c r="D13" s="15" t="s">
        <v>1314</v>
      </c>
      <c r="E13" s="9"/>
      <c r="F13" s="9"/>
      <c r="G13" s="13"/>
      <c r="H13" s="14" t="str">
        <f>HYPERLINK("https://pulti.ua/uk/tv/pult-dlya-aiwa-jh32ds700s")</f>
        <v>https://pulti.ua/uk/tv/pult-dlya-aiwa-jh32ds700s</v>
      </c>
    </row>
    <row r="14" spans="1:8" s="18" customFormat="1" ht="15" customHeight="1">
      <c r="A14" s="11">
        <v>1003</v>
      </c>
      <c r="B14" s="12" t="s">
        <v>12</v>
      </c>
      <c r="C14" s="13" t="s">
        <v>11</v>
      </c>
      <c r="D14" s="14"/>
      <c r="E14" s="9">
        <v>61.9</v>
      </c>
      <c r="F14" s="9">
        <f aca="true" t="shared" si="0" ref="F14:F20">D14*E14</f>
        <v>0</v>
      </c>
      <c r="G14" s="13"/>
      <c r="H14" s="14" t="str">
        <f>HYPERLINK("https://pulti.ua/tv/pult-dlja-aiwa-rc-avt02")</f>
        <v>https://pulti.ua/tv/pult-dlja-aiwa-rc-avt02</v>
      </c>
    </row>
    <row r="15" spans="1:8" s="18" customFormat="1" ht="15" customHeight="1">
      <c r="A15" s="11">
        <v>1005</v>
      </c>
      <c r="B15" s="12" t="s">
        <v>13</v>
      </c>
      <c r="C15" s="13" t="s">
        <v>11</v>
      </c>
      <c r="D15" s="14"/>
      <c r="E15" s="9">
        <v>52.5</v>
      </c>
      <c r="F15" s="9">
        <f t="shared" si="0"/>
        <v>0</v>
      </c>
      <c r="G15" s="13"/>
      <c r="H15" s="14" t="str">
        <f>HYPERLINK("https://pulti.ua/tv/pult-dlja-aiwa-rc-tc141ke")</f>
        <v>https://pulti.ua/tv/pult-dlja-aiwa-rc-tc141ke</v>
      </c>
    </row>
    <row r="16" spans="1:8" s="18" customFormat="1" ht="15" customHeight="1">
      <c r="A16" s="11">
        <v>1008</v>
      </c>
      <c r="B16" s="12" t="s">
        <v>15</v>
      </c>
      <c r="C16" s="13" t="s">
        <v>11</v>
      </c>
      <c r="D16" s="14"/>
      <c r="E16" s="9">
        <v>60</v>
      </c>
      <c r="F16" s="9">
        <f t="shared" si="0"/>
        <v>0</v>
      </c>
      <c r="G16" s="13"/>
      <c r="H16" s="14" t="str">
        <f>HYPERLINK("https://pulti.ua/tv/pult-dlja-akai-4ga1-901")</f>
        <v>https://pulti.ua/tv/pult-dlja-akai-4ga1-901</v>
      </c>
    </row>
    <row r="17" spans="1:8" s="18" customFormat="1" ht="15" customHeight="1">
      <c r="A17" s="39">
        <v>3150</v>
      </c>
      <c r="B17" s="26" t="s">
        <v>16</v>
      </c>
      <c r="C17" s="13" t="s">
        <v>11</v>
      </c>
      <c r="D17" s="14"/>
      <c r="E17" s="9">
        <v>187.5</v>
      </c>
      <c r="F17" s="9">
        <f t="shared" si="0"/>
        <v>0</v>
      </c>
      <c r="G17" s="13"/>
      <c r="H17" s="14" t="str">
        <f>HYPERLINK("https://pulti.ua/tv/pult-dlja-akai-a0001011--black")</f>
        <v>https://pulti.ua/tv/pult-dlja-akai-a0001011--black</v>
      </c>
    </row>
    <row r="18" spans="1:8" s="18" customFormat="1" ht="15" customHeight="1">
      <c r="A18" s="39">
        <v>3151</v>
      </c>
      <c r="B18" s="26" t="s">
        <v>17</v>
      </c>
      <c r="C18" s="13" t="s">
        <v>11</v>
      </c>
      <c r="D18" s="14"/>
      <c r="E18" s="9">
        <v>187.5</v>
      </c>
      <c r="F18" s="9">
        <f t="shared" si="0"/>
        <v>0</v>
      </c>
      <c r="G18" s="13"/>
      <c r="H18" s="14" t="str">
        <f>HYPERLINK("https://pulti.ua/tv/pult-dlja-akai-a0001012---silver")</f>
        <v>https://pulti.ua/tv/pult-dlja-akai-a0001012---silver</v>
      </c>
    </row>
    <row r="19" spans="1:8" s="18" customFormat="1" ht="15" customHeight="1">
      <c r="A19" s="39">
        <v>3085</v>
      </c>
      <c r="B19" s="26" t="s">
        <v>18</v>
      </c>
      <c r="C19" s="13" t="s">
        <v>11</v>
      </c>
      <c r="D19" s="14"/>
      <c r="E19" s="9">
        <v>150</v>
      </c>
      <c r="F19" s="9">
        <f t="shared" si="0"/>
        <v>0</v>
      </c>
      <c r="G19" s="13"/>
      <c r="H19" s="14" t="str">
        <f>HYPERLINK("https://pulti.ua/tv/pult-dlja-akai-a4001032")</f>
        <v>https://pulti.ua/tv/pult-dlja-akai-a4001032</v>
      </c>
    </row>
    <row r="20" spans="1:8" s="18" customFormat="1" ht="15" customHeight="1">
      <c r="A20" s="11">
        <v>1010</v>
      </c>
      <c r="B20" s="12" t="s">
        <v>19</v>
      </c>
      <c r="C20" s="13" t="s">
        <v>11</v>
      </c>
      <c r="D20" s="14"/>
      <c r="E20" s="9">
        <v>56.3</v>
      </c>
      <c r="F20" s="9">
        <f t="shared" si="0"/>
        <v>0</v>
      </c>
      <c r="G20" s="13"/>
      <c r="H20" s="14" t="str">
        <f>HYPERLINK("https://pulti.ua/tv/pult-dlja-akai-abl-105-kaplja")</f>
        <v>https://pulti.ua/tv/pult-dlja-akai-abl-105-kaplja</v>
      </c>
    </row>
    <row r="21" spans="1:8" s="18" customFormat="1" ht="15" customHeight="1">
      <c r="A21" s="39">
        <v>3438</v>
      </c>
      <c r="B21" s="26" t="s">
        <v>20</v>
      </c>
      <c r="C21" s="13" t="s">
        <v>14</v>
      </c>
      <c r="D21" s="15" t="s">
        <v>1314</v>
      </c>
      <c r="E21" s="9">
        <v>71.3</v>
      </c>
      <c r="F21" s="9"/>
      <c r="G21" s="13"/>
      <c r="H21" s="14" t="str">
        <f>HYPERLINK("https://pulti.ua/tv/pult-dlja-akai-cx-507")</f>
        <v>https://pulti.ua/tv/pult-dlja-akai-cx-507</v>
      </c>
    </row>
    <row r="22" spans="1:8" s="18" customFormat="1" ht="15" customHeight="1">
      <c r="A22" s="39">
        <v>3932</v>
      </c>
      <c r="B22" s="26" t="s">
        <v>21</v>
      </c>
      <c r="C22" s="13" t="s">
        <v>22</v>
      </c>
      <c r="D22" s="14"/>
      <c r="E22" s="9">
        <v>157.5</v>
      </c>
      <c r="F22" s="9">
        <f aca="true" t="shared" si="1" ref="F22:F58">D22*E22</f>
        <v>0</v>
      </c>
      <c r="G22" s="13"/>
      <c r="H22" s="14" t="str">
        <f>HYPERLINK("https://pulti.ua/tv/pult-dlja-akai-hof08j001")</f>
        <v>https://pulti.ua/tv/pult-dlja-akai-hof08j001</v>
      </c>
    </row>
    <row r="23" spans="1:8" s="18" customFormat="1" ht="15" customHeight="1">
      <c r="A23" s="39">
        <v>4327</v>
      </c>
      <c r="B23" s="26" t="s">
        <v>23</v>
      </c>
      <c r="C23" s="13" t="s">
        <v>14</v>
      </c>
      <c r="D23" s="14"/>
      <c r="E23" s="9">
        <v>108.8</v>
      </c>
      <c r="F23" s="9">
        <f t="shared" si="1"/>
        <v>0</v>
      </c>
      <c r="G23" s="13"/>
      <c r="H23" s="14" t="str">
        <f>HYPERLINK("https://pulti.ua/tv/pult-dlya-akai-lea-24b52p")</f>
        <v>https://pulti.ua/tv/pult-dlya-akai-lea-24b52p</v>
      </c>
    </row>
    <row r="24" spans="1:8" s="18" customFormat="1" ht="15" customHeight="1">
      <c r="A24" s="39">
        <v>4828</v>
      </c>
      <c r="B24" s="26" t="s">
        <v>1315</v>
      </c>
      <c r="C24" s="13" t="s">
        <v>14</v>
      </c>
      <c r="D24" s="14"/>
      <c r="E24" s="9">
        <v>150</v>
      </c>
      <c r="F24" s="9">
        <f t="shared" si="1"/>
        <v>0</v>
      </c>
      <c r="G24" s="13"/>
      <c r="H24" s="14" t="str">
        <f>HYPERLINK("https://pulti.ua/tv/pult-dlya-akai-lea-28u62w")</f>
        <v>https://pulti.ua/tv/pult-dlya-akai-lea-28u62w</v>
      </c>
    </row>
    <row r="25" spans="1:8" s="18" customFormat="1" ht="15" customHeight="1">
      <c r="A25" s="39">
        <v>4328</v>
      </c>
      <c r="B25" s="26" t="s">
        <v>24</v>
      </c>
      <c r="C25" s="13" t="s">
        <v>14</v>
      </c>
      <c r="D25" s="14"/>
      <c r="E25" s="9">
        <v>101.3</v>
      </c>
      <c r="F25" s="9">
        <f t="shared" si="1"/>
        <v>0</v>
      </c>
      <c r="G25" s="13"/>
      <c r="H25" s="14" t="str">
        <f>HYPERLINK("https://pulti.ua/tv/pult-dlya-akai-lea-32b49p")</f>
        <v>https://pulti.ua/tv/pult-dlya-akai-lea-32b49p</v>
      </c>
    </row>
    <row r="26" spans="1:8" s="18" customFormat="1" ht="15" customHeight="1">
      <c r="A26" s="39">
        <v>2672</v>
      </c>
      <c r="B26" s="26" t="s">
        <v>25</v>
      </c>
      <c r="C26" s="13" t="s">
        <v>11</v>
      </c>
      <c r="D26" s="14"/>
      <c r="E26" s="9">
        <v>48.8</v>
      </c>
      <c r="F26" s="9">
        <f t="shared" si="1"/>
        <v>0</v>
      </c>
      <c r="G26" s="13"/>
      <c r="H26" s="14" t="str">
        <f>HYPERLINK("https://pulti.ua/tv/pult-dlja-akai-rc-1153012-ic")</f>
        <v>https://pulti.ua/tv/pult-dlja-akai-rc-1153012-ic</v>
      </c>
    </row>
    <row r="27" spans="1:8" s="18" customFormat="1" ht="15" customHeight="1">
      <c r="A27" s="11">
        <v>1014</v>
      </c>
      <c r="B27" s="12" t="s">
        <v>26</v>
      </c>
      <c r="C27" s="13" t="s">
        <v>11</v>
      </c>
      <c r="D27" s="14"/>
      <c r="E27" s="9">
        <v>54.4</v>
      </c>
      <c r="F27" s="9">
        <f t="shared" si="1"/>
        <v>0</v>
      </c>
      <c r="G27" s="13"/>
      <c r="H27" s="14" t="str">
        <f>HYPERLINK("https://pulti.ua/tv/pult-dlja-akai-rc-51a")</f>
        <v>https://pulti.ua/tv/pult-dlja-akai-rc-51a</v>
      </c>
    </row>
    <row r="28" spans="1:8" s="18" customFormat="1" ht="15" customHeight="1">
      <c r="A28" s="11">
        <v>1017</v>
      </c>
      <c r="B28" s="12" t="s">
        <v>27</v>
      </c>
      <c r="C28" s="13" t="s">
        <v>11</v>
      </c>
      <c r="D28" s="14"/>
      <c r="E28" s="9">
        <v>67.5</v>
      </c>
      <c r="F28" s="9">
        <f t="shared" si="1"/>
        <v>0</v>
      </c>
      <c r="G28" s="13"/>
      <c r="H28" s="14" t="str">
        <f>HYPERLINK("https://pulti.ua/tv/pult-dlja--akai-rc-n2a")</f>
        <v>https://pulti.ua/tv/pult-dlja--akai-rc-n2a</v>
      </c>
    </row>
    <row r="29" spans="1:8" s="18" customFormat="1" ht="15" customHeight="1">
      <c r="A29" s="11">
        <v>1019</v>
      </c>
      <c r="B29" s="12" t="s">
        <v>28</v>
      </c>
      <c r="C29" s="13" t="s">
        <v>11</v>
      </c>
      <c r="D29" s="14"/>
      <c r="E29" s="9">
        <v>67.5</v>
      </c>
      <c r="F29" s="9">
        <f t="shared" si="1"/>
        <v>0</v>
      </c>
      <c r="G29" s="13"/>
      <c r="H29" s="14" t="str">
        <f>HYPERLINK("https://pulti.ua/tv/pult-dlja-akai-rc-w001tv")</f>
        <v>https://pulti.ua/tv/pult-dlja-akai-rc-w001tv</v>
      </c>
    </row>
    <row r="30" spans="1:8" s="18" customFormat="1" ht="15" customHeight="1">
      <c r="A30" s="39">
        <v>3570</v>
      </c>
      <c r="B30" s="26" t="s">
        <v>29</v>
      </c>
      <c r="C30" s="13" t="s">
        <v>22</v>
      </c>
      <c r="D30" s="14"/>
      <c r="E30" s="9">
        <v>210</v>
      </c>
      <c r="F30" s="9">
        <f t="shared" si="1"/>
        <v>0</v>
      </c>
      <c r="G30" s="13"/>
      <c r="H30" s="14" t="str">
        <f>HYPERLINK("https://pulti.ua/tv/pult-dlja-akai-slp-006p")</f>
        <v>https://pulti.ua/tv/pult-dlja-akai-slp-006p</v>
      </c>
    </row>
    <row r="31" spans="1:8" s="18" customFormat="1" ht="15" customHeight="1">
      <c r="A31" s="39">
        <v>4330</v>
      </c>
      <c r="B31" s="26" t="s">
        <v>30</v>
      </c>
      <c r="C31" s="13" t="s">
        <v>14</v>
      </c>
      <c r="D31" s="14"/>
      <c r="E31" s="9">
        <v>123.8</v>
      </c>
      <c r="F31" s="9">
        <f t="shared" si="1"/>
        <v>0</v>
      </c>
      <c r="G31" s="13"/>
      <c r="H31" s="14" t="str">
        <f>HYPERLINK("https://pulti.ua/tv/pult-dlya-akai-wl52jc002")</f>
        <v>https://pulti.ua/tv/pult-dlya-akai-wl52jc002</v>
      </c>
    </row>
    <row r="32" spans="1:8" s="18" customFormat="1" ht="15" customHeight="1">
      <c r="A32" s="39">
        <v>4384</v>
      </c>
      <c r="B32" s="26" t="s">
        <v>31</v>
      </c>
      <c r="C32" s="13" t="s">
        <v>14</v>
      </c>
      <c r="D32" s="14"/>
      <c r="E32" s="9">
        <v>123.8</v>
      </c>
      <c r="F32" s="9">
        <f t="shared" si="1"/>
        <v>0</v>
      </c>
      <c r="G32" s="13"/>
      <c r="H32" s="14" t="str">
        <f>HYPERLINK("https://pulti.ua/tv/pult-dlya-akai-y-72c2-media")</f>
        <v>https://pulti.ua/tv/pult-dlya-akai-y-72c2-media</v>
      </c>
    </row>
    <row r="33" spans="1:8" s="18" customFormat="1" ht="15" customHeight="1">
      <c r="A33" s="39">
        <v>3120</v>
      </c>
      <c r="B33" s="26" t="s">
        <v>32</v>
      </c>
      <c r="C33" s="13" t="s">
        <v>11</v>
      </c>
      <c r="D33" s="14"/>
      <c r="E33" s="9">
        <v>131.3</v>
      </c>
      <c r="F33" s="9">
        <f t="shared" si="1"/>
        <v>0</v>
      </c>
      <c r="G33" s="13"/>
      <c r="H33" s="14" t="str">
        <f>HYPERLINK("https://pulti.ua/tv/pult-dlja-akai-zd3279")</f>
        <v>https://pulti.ua/tv/pult-dlja-akai-zd3279</v>
      </c>
    </row>
    <row r="34" spans="1:8" s="18" customFormat="1" ht="15" customHeight="1">
      <c r="A34" s="39">
        <v>4385</v>
      </c>
      <c r="B34" s="26" t="s">
        <v>33</v>
      </c>
      <c r="C34" s="13" t="s">
        <v>14</v>
      </c>
      <c r="D34" s="14"/>
      <c r="E34" s="9">
        <v>95.6</v>
      </c>
      <c r="F34" s="9">
        <f t="shared" si="1"/>
        <v>0</v>
      </c>
      <c r="G34" s="13"/>
      <c r="H34" s="14" t="str">
        <f>HYPERLINK("https://pulti.ua/tv/pult-dlya-akira-32led01t2m")</f>
        <v>https://pulti.ua/tv/pult-dlya-akira-32led01t2m</v>
      </c>
    </row>
    <row r="35" spans="1:8" s="18" customFormat="1" ht="15" customHeight="1">
      <c r="A35" s="39">
        <v>1022</v>
      </c>
      <c r="B35" s="26" t="s">
        <v>34</v>
      </c>
      <c r="C35" s="13" t="s">
        <v>11</v>
      </c>
      <c r="D35" s="14"/>
      <c r="E35" s="9">
        <v>71.3</v>
      </c>
      <c r="F35" s="9">
        <f t="shared" si="1"/>
        <v>0</v>
      </c>
      <c r="G35" s="13"/>
      <c r="H35" s="14" t="str">
        <f>HYPERLINK("https://pulti.ua/tv/pult-dlja-akira-abl-15-ic")</f>
        <v>https://pulti.ua/tv/pult-dlja-akira-abl-15-ic</v>
      </c>
    </row>
    <row r="36" spans="1:8" s="18" customFormat="1" ht="15" customHeight="1">
      <c r="A36" s="39">
        <v>2900</v>
      </c>
      <c r="B36" s="26" t="s">
        <v>35</v>
      </c>
      <c r="C36" s="13" t="s">
        <v>22</v>
      </c>
      <c r="D36" s="14"/>
      <c r="E36" s="9">
        <v>150</v>
      </c>
      <c r="F36" s="9">
        <f t="shared" si="1"/>
        <v>0</v>
      </c>
      <c r="G36" s="13"/>
      <c r="H36" s="14" t="str">
        <f>HYPERLINK("https://pulti.ua/tv/pult-dlja-akira-klc5a-c12-tvd21")</f>
        <v>https://pulti.ua/tv/pult-dlja-akira-klc5a-c12-tvd21</v>
      </c>
    </row>
    <row r="37" spans="1:8" s="18" customFormat="1" ht="15" customHeight="1">
      <c r="A37" s="39">
        <v>3552</v>
      </c>
      <c r="B37" s="26" t="s">
        <v>36</v>
      </c>
      <c r="C37" s="13" t="s">
        <v>22</v>
      </c>
      <c r="D37" s="14"/>
      <c r="E37" s="9">
        <v>142.5</v>
      </c>
      <c r="F37" s="9">
        <f t="shared" si="1"/>
        <v>0</v>
      </c>
      <c r="G37" s="13"/>
      <c r="H37" s="14" t="str">
        <f>HYPERLINK("https://pulti.ua/tv/pult-dlja-akira-km-1128a")</f>
        <v>https://pulti.ua/tv/pult-dlja-akira-km-1128a</v>
      </c>
    </row>
    <row r="38" spans="1:8" s="18" customFormat="1" ht="15" customHeight="1">
      <c r="A38" s="39">
        <v>1024</v>
      </c>
      <c r="B38" s="26" t="s">
        <v>37</v>
      </c>
      <c r="C38" s="13" t="s">
        <v>11</v>
      </c>
      <c r="D38" s="14"/>
      <c r="E38" s="9">
        <v>138.8</v>
      </c>
      <c r="F38" s="9">
        <f t="shared" si="1"/>
        <v>0</v>
      </c>
      <c r="G38" s="13"/>
      <c r="H38" s="14" t="str">
        <f>HYPERLINK("https://pulti.ua/tv/pult-dlja-akira-lct-19v82st")</f>
        <v>https://pulti.ua/tv/pult-dlja-akira-lct-19v82st</v>
      </c>
    </row>
    <row r="39" spans="1:8" s="18" customFormat="1" ht="15" customHeight="1">
      <c r="A39" s="39">
        <v>1025</v>
      </c>
      <c r="B39" s="26" t="s">
        <v>38</v>
      </c>
      <c r="C39" s="13" t="s">
        <v>11</v>
      </c>
      <c r="D39" s="14"/>
      <c r="E39" s="9">
        <v>127.5</v>
      </c>
      <c r="F39" s="9">
        <f t="shared" si="1"/>
        <v>0</v>
      </c>
      <c r="G39" s="13"/>
      <c r="H39" s="14" t="str">
        <f>HYPERLINK("https://pulti.ua/tv/pult-dlja-akira-new")</f>
        <v>https://pulti.ua/tv/pult-dlja-akira-new</v>
      </c>
    </row>
    <row r="40" spans="1:8" s="18" customFormat="1" ht="15" customHeight="1">
      <c r="A40" s="39">
        <v>4331</v>
      </c>
      <c r="B40" s="26" t="s">
        <v>39</v>
      </c>
      <c r="C40" s="13" t="s">
        <v>14</v>
      </c>
      <c r="D40" s="14"/>
      <c r="E40" s="9">
        <v>116.3</v>
      </c>
      <c r="F40" s="9">
        <f t="shared" si="1"/>
        <v>0</v>
      </c>
      <c r="G40" s="13"/>
      <c r="H40" s="14" t="str">
        <f>HYPERLINK("https://pulti.ua/tv/pult-dlya-akira-rs41-dcg")</f>
        <v>https://pulti.ua/tv/pult-dlya-akira-rs41-dcg</v>
      </c>
    </row>
    <row r="41" spans="1:8" s="18" customFormat="1" ht="15" customHeight="1">
      <c r="A41" s="11">
        <v>1026</v>
      </c>
      <c r="B41" s="12" t="s">
        <v>40</v>
      </c>
      <c r="C41" s="13" t="s">
        <v>11</v>
      </c>
      <c r="D41" s="14"/>
      <c r="E41" s="9">
        <v>71.3</v>
      </c>
      <c r="F41" s="9">
        <f t="shared" si="1"/>
        <v>0</v>
      </c>
      <c r="G41" s="13"/>
      <c r="H41" s="14" t="str">
        <f>HYPERLINK("https://pulti.ua/tv/pult-dlja-akira-ry-2002")</f>
        <v>https://pulti.ua/tv/pult-dlja-akira-ry-2002</v>
      </c>
    </row>
    <row r="42" spans="1:8" s="18" customFormat="1" ht="15" customHeight="1">
      <c r="A42" s="11">
        <v>1027</v>
      </c>
      <c r="B42" s="12" t="s">
        <v>41</v>
      </c>
      <c r="C42" s="13" t="s">
        <v>11</v>
      </c>
      <c r="D42" s="14"/>
      <c r="E42" s="9">
        <v>90</v>
      </c>
      <c r="F42" s="9">
        <f t="shared" si="1"/>
        <v>0</v>
      </c>
      <c r="G42" s="13"/>
      <c r="H42" s="14" t="str">
        <f>HYPERLINK("https://pulti.ua/tv/pult-dlja-akira-sy-001")</f>
        <v>https://pulti.ua/tv/pult-dlja-akira-sy-001</v>
      </c>
    </row>
    <row r="43" spans="1:8" s="18" customFormat="1" ht="15" customHeight="1">
      <c r="A43" s="39">
        <v>3152</v>
      </c>
      <c r="B43" s="26" t="s">
        <v>42</v>
      </c>
      <c r="C43" s="13" t="s">
        <v>11</v>
      </c>
      <c r="D43" s="14"/>
      <c r="E43" s="9">
        <v>157.5</v>
      </c>
      <c r="F43" s="9">
        <f t="shared" si="1"/>
        <v>0</v>
      </c>
      <c r="G43" s="13"/>
      <c r="H43" s="14" t="str">
        <f>HYPERLINK("https://pulti.ua/tv/pult-dlja-akira-zd-rc30")</f>
        <v>https://pulti.ua/tv/pult-dlja-akira-zd-rc30</v>
      </c>
    </row>
    <row r="44" spans="1:8" s="18" customFormat="1" ht="15" customHeight="1">
      <c r="A44" s="11">
        <v>1031</v>
      </c>
      <c r="B44" s="12" t="s">
        <v>43</v>
      </c>
      <c r="C44" s="13" t="s">
        <v>22</v>
      </c>
      <c r="D44" s="14"/>
      <c r="E44" s="9">
        <v>97.5</v>
      </c>
      <c r="F44" s="9">
        <f t="shared" si="1"/>
        <v>0</v>
      </c>
      <c r="G44" s="13"/>
      <c r="H44" s="14" t="str">
        <f>HYPERLINK("https://pulti.ua/tv/pult-dlja-alpari-lh-32s81d")</f>
        <v>https://pulti.ua/tv/pult-dlja-alpari-lh-32s81d</v>
      </c>
    </row>
    <row r="45" spans="1:8" s="18" customFormat="1" ht="15" customHeight="1">
      <c r="A45" s="11">
        <v>2901</v>
      </c>
      <c r="B45" s="12" t="s">
        <v>44</v>
      </c>
      <c r="C45" s="13" t="s">
        <v>11</v>
      </c>
      <c r="D45" s="14"/>
      <c r="E45" s="9">
        <v>75</v>
      </c>
      <c r="F45" s="9">
        <f t="shared" si="1"/>
        <v>0</v>
      </c>
      <c r="G45" s="13"/>
      <c r="H45" s="14" t="str">
        <f>HYPERLINK("https://pulti.ua/tv/pult-dlja-alpari-rc03-52")</f>
        <v>https://pulti.ua/tv/pult-dlja-alpari-rc03-52</v>
      </c>
    </row>
    <row r="46" spans="1:8" s="18" customFormat="1" ht="15" customHeight="1">
      <c r="A46" s="11">
        <v>1032</v>
      </c>
      <c r="B46" s="12" t="s">
        <v>45</v>
      </c>
      <c r="C46" s="13" t="s">
        <v>22</v>
      </c>
      <c r="D46" s="14"/>
      <c r="E46" s="9">
        <v>90</v>
      </c>
      <c r="F46" s="9">
        <f t="shared" si="1"/>
        <v>0</v>
      </c>
      <c r="G46" s="13"/>
      <c r="H46" s="14" t="str">
        <f>HYPERLINK("https://pulti.ua/tv/pult-dlja-aoc--lcd-001")</f>
        <v>https://pulti.ua/tv/pult-dlja-aoc--lcd-001</v>
      </c>
    </row>
    <row r="47" spans="1:8" s="18" customFormat="1" ht="15" customHeight="1">
      <c r="A47" s="39">
        <v>4829</v>
      </c>
      <c r="B47" s="26" t="s">
        <v>46</v>
      </c>
      <c r="C47" s="13" t="s">
        <v>22</v>
      </c>
      <c r="D47" s="14"/>
      <c r="E47" s="9">
        <v>168.8</v>
      </c>
      <c r="F47" s="9">
        <f t="shared" si="1"/>
        <v>0</v>
      </c>
      <c r="G47" s="13"/>
      <c r="H47" s="14" t="str">
        <f>HYPERLINK("https://pulti.ua/tv/pult-dlya-aoc-le32m357060")</f>
        <v>https://pulti.ua/tv/pult-dlya-aoc-le32m357060</v>
      </c>
    </row>
    <row r="48" spans="1:8" s="18" customFormat="1" ht="15" customHeight="1">
      <c r="A48" s="39">
        <v>4830</v>
      </c>
      <c r="B48" s="26" t="s">
        <v>1316</v>
      </c>
      <c r="C48" s="13" t="s">
        <v>22</v>
      </c>
      <c r="D48" s="14"/>
      <c r="E48" s="9">
        <v>168.8</v>
      </c>
      <c r="F48" s="9">
        <f t="shared" si="1"/>
        <v>0</v>
      </c>
      <c r="G48" s="13"/>
      <c r="H48" s="14" t="str">
        <f>HYPERLINK("https://pulti.ua/tv/pult-dlya-aoc-rc199471901")</f>
        <v>https://pulti.ua/tv/pult-dlya-aoc-rc199471901</v>
      </c>
    </row>
    <row r="49" spans="1:8" s="18" customFormat="1" ht="15" customHeight="1">
      <c r="A49" s="39">
        <v>1034</v>
      </c>
      <c r="B49" s="26" t="s">
        <v>47</v>
      </c>
      <c r="C49" s="13" t="s">
        <v>11</v>
      </c>
      <c r="D49" s="14"/>
      <c r="E49" s="9">
        <v>101.3</v>
      </c>
      <c r="F49" s="9">
        <f t="shared" si="1"/>
        <v>0</v>
      </c>
      <c r="G49" s="13"/>
      <c r="H49" s="14" t="str">
        <f>HYPERLINK("https://pulti.ua/tv/pult-dlja-avest-hydfsr-0048hd")</f>
        <v>https://pulti.ua/tv/pult-dlja-avest-hydfsr-0048hd</v>
      </c>
    </row>
    <row r="50" spans="1:8" s="18" customFormat="1" ht="15" customHeight="1">
      <c r="A50" s="11">
        <v>1035</v>
      </c>
      <c r="B50" s="12" t="s">
        <v>48</v>
      </c>
      <c r="C50" s="13" t="s">
        <v>11</v>
      </c>
      <c r="D50" s="14"/>
      <c r="E50" s="9">
        <v>101.3</v>
      </c>
      <c r="F50" s="9">
        <f t="shared" si="1"/>
        <v>0</v>
      </c>
      <c r="G50" s="13"/>
      <c r="H50" s="14" t="str">
        <f>HYPERLINK("https://pulti.ua/tv/pult-dlja-avest-hydfsr-0048rag")</f>
        <v>https://pulti.ua/tv/pult-dlja-avest-hydfsr-0048rag</v>
      </c>
    </row>
    <row r="51" spans="1:8" s="18" customFormat="1" ht="15" customHeight="1">
      <c r="A51" s="11">
        <v>1038</v>
      </c>
      <c r="B51" s="12" t="s">
        <v>49</v>
      </c>
      <c r="C51" s="13" t="s">
        <v>11</v>
      </c>
      <c r="D51" s="14"/>
      <c r="E51" s="9">
        <v>101.3</v>
      </c>
      <c r="F51" s="9">
        <f t="shared" si="1"/>
        <v>0</v>
      </c>
      <c r="G51" s="13"/>
      <c r="H51" s="14" t="str">
        <f>HYPERLINK("https://pulti.ua/tv/pult-dlja-avest-hyf-08")</f>
        <v>https://pulti.ua/tv/pult-dlja-avest-hyf-08</v>
      </c>
    </row>
    <row r="52" spans="1:8" s="18" customFormat="1" ht="15" customHeight="1">
      <c r="A52" s="11">
        <v>1040</v>
      </c>
      <c r="B52" s="12" t="s">
        <v>50</v>
      </c>
      <c r="C52" s="13" t="s">
        <v>11</v>
      </c>
      <c r="D52" s="14"/>
      <c r="E52" s="9">
        <v>56.3</v>
      </c>
      <c r="F52" s="9">
        <f t="shared" si="1"/>
        <v>0</v>
      </c>
      <c r="G52" s="13"/>
      <c r="H52" s="14" t="str">
        <f>HYPERLINK("https://pulti.ua/tv/pult-dlja-avest-k16rc-3")</f>
        <v>https://pulti.ua/tv/pult-dlja-avest-k16rc-3</v>
      </c>
    </row>
    <row r="53" spans="1:8" s="18" customFormat="1" ht="15" customHeight="1">
      <c r="A53" s="11">
        <v>1041</v>
      </c>
      <c r="B53" s="12" t="s">
        <v>51</v>
      </c>
      <c r="C53" s="13" t="s">
        <v>11</v>
      </c>
      <c r="D53" s="14"/>
      <c r="E53" s="9">
        <v>67.5</v>
      </c>
      <c r="F53" s="9">
        <f t="shared" si="1"/>
        <v>0</v>
      </c>
      <c r="G53" s="13"/>
      <c r="H53" s="14" t="str">
        <f>HYPERLINK("https://pulti.ua/tv/pult-dlja-avest-rc-241")</f>
        <v>https://pulti.ua/tv/pult-dlja-avest-rc-241</v>
      </c>
    </row>
    <row r="54" spans="1:8" s="18" customFormat="1" ht="15" customHeight="1">
      <c r="A54" s="11">
        <v>2902</v>
      </c>
      <c r="B54" s="12" t="s">
        <v>52</v>
      </c>
      <c r="C54" s="13" t="s">
        <v>22</v>
      </c>
      <c r="D54" s="14"/>
      <c r="E54" s="9">
        <v>101.3</v>
      </c>
      <c r="F54" s="9">
        <f t="shared" si="1"/>
        <v>0</v>
      </c>
      <c r="G54" s="13"/>
      <c r="H54" s="14" t="str">
        <f>HYPERLINK("https://pulti.ua/tv/pult-dlja-bbk-en-21662b")</f>
        <v>https://pulti.ua/tv/pult-dlja-bbk-en-21662b</v>
      </c>
    </row>
    <row r="55" spans="1:8" s="18" customFormat="1" ht="15" customHeight="1">
      <c r="A55" s="39">
        <v>1047</v>
      </c>
      <c r="B55" s="26" t="s">
        <v>53</v>
      </c>
      <c r="C55" s="13" t="s">
        <v>22</v>
      </c>
      <c r="D55" s="14"/>
      <c r="E55" s="9">
        <v>225</v>
      </c>
      <c r="F55" s="9">
        <f t="shared" si="1"/>
        <v>0</v>
      </c>
      <c r="G55" s="13"/>
      <c r="H55" s="14" t="str">
        <f>HYPERLINK("https://pulti.ua/tv/pult-dlja-bbk-lt1504")</f>
        <v>https://pulti.ua/tv/pult-dlja-bbk-lt1504</v>
      </c>
    </row>
    <row r="56" spans="1:8" s="18" customFormat="1" ht="15" customHeight="1">
      <c r="A56" s="39">
        <v>3054</v>
      </c>
      <c r="B56" s="26" t="s">
        <v>54</v>
      </c>
      <c r="C56" s="13" t="s">
        <v>22</v>
      </c>
      <c r="D56" s="14"/>
      <c r="E56" s="9">
        <v>345</v>
      </c>
      <c r="F56" s="9">
        <f t="shared" si="1"/>
        <v>0</v>
      </c>
      <c r="G56" s="13"/>
      <c r="H56" s="14" t="str">
        <f>HYPERLINK("https://pulti.ua/tv/pult-dlja-bbk-lt-3204")</f>
        <v>https://pulti.ua/tv/pult-dlja-bbk-lt-3204</v>
      </c>
    </row>
    <row r="57" spans="1:8" s="18" customFormat="1" ht="15" customHeight="1">
      <c r="A57" s="39">
        <v>1050</v>
      </c>
      <c r="B57" s="26" t="s">
        <v>55</v>
      </c>
      <c r="C57" s="13" t="s">
        <v>14</v>
      </c>
      <c r="D57" s="14"/>
      <c r="E57" s="9">
        <v>63.8</v>
      </c>
      <c r="F57" s="9">
        <f t="shared" si="1"/>
        <v>0</v>
      </c>
      <c r="G57" s="13"/>
      <c r="H57" s="14" t="str">
        <f>HYPERLINK("https://pulti.ua/tv/pult-dlja-bbk-rc1529")</f>
        <v>https://pulti.ua/tv/pult-dlja-bbk-rc1529</v>
      </c>
    </row>
    <row r="58" spans="1:8" s="18" customFormat="1" ht="15" customHeight="1">
      <c r="A58" s="39">
        <v>1051</v>
      </c>
      <c r="B58" s="26" t="s">
        <v>56</v>
      </c>
      <c r="C58" s="13" t="s">
        <v>22</v>
      </c>
      <c r="D58" s="14"/>
      <c r="E58" s="9">
        <v>108.8</v>
      </c>
      <c r="F58" s="9">
        <f t="shared" si="1"/>
        <v>0</v>
      </c>
      <c r="G58" s="13"/>
      <c r="H58" s="14" t="str">
        <f>HYPERLINK("https://pulti.ua/tv/pult-dlja-bbk-rc1902")</f>
        <v>https://pulti.ua/tv/pult-dlja-bbk-rc1902</v>
      </c>
    </row>
    <row r="59" spans="1:8" s="18" customFormat="1" ht="15" customHeight="1">
      <c r="A59" s="39">
        <v>3534</v>
      </c>
      <c r="B59" s="26" t="s">
        <v>57</v>
      </c>
      <c r="C59" s="13" t="s">
        <v>22</v>
      </c>
      <c r="D59" s="15" t="s">
        <v>1314</v>
      </c>
      <c r="E59" s="9">
        <v>76.9</v>
      </c>
      <c r="F59" s="9"/>
      <c r="G59" s="13"/>
      <c r="H59" s="14" t="str">
        <f>HYPERLINK("https://pulti.ua/tv/pult-dlja-bbk-rc1951-ic")</f>
        <v>https://pulti.ua/tv/pult-dlja-bbk-rc1951-ic</v>
      </c>
    </row>
    <row r="60" spans="1:8" s="18" customFormat="1" ht="15" customHeight="1">
      <c r="A60" s="39">
        <v>3121</v>
      </c>
      <c r="B60" s="26" t="s">
        <v>58</v>
      </c>
      <c r="C60" s="13" t="s">
        <v>14</v>
      </c>
      <c r="D60" s="14"/>
      <c r="E60" s="9">
        <v>90</v>
      </c>
      <c r="F60" s="9">
        <f aca="true" t="shared" si="2" ref="F60:F72">D60*E60</f>
        <v>0</v>
      </c>
      <c r="G60" s="13"/>
      <c r="H60" s="14" t="str">
        <f>HYPERLINK("https://pulti.ua/tv/pult-dlja-bbk-rc-2465")</f>
        <v>https://pulti.ua/tv/pult-dlja-bbk-rc-2465</v>
      </c>
    </row>
    <row r="61" spans="1:8" s="18" customFormat="1" ht="15" customHeight="1">
      <c r="A61" s="39">
        <v>3128</v>
      </c>
      <c r="B61" s="26" t="s">
        <v>59</v>
      </c>
      <c r="C61" s="13" t="s">
        <v>22</v>
      </c>
      <c r="D61" s="14"/>
      <c r="E61" s="9">
        <v>195</v>
      </c>
      <c r="F61" s="9">
        <f t="shared" si="2"/>
        <v>0</v>
      </c>
      <c r="G61" s="13"/>
      <c r="H61" s="14" t="str">
        <f>HYPERLINK("https://pulti.ua/tv/pult-dlja-bbk-rc-2603")</f>
        <v>https://pulti.ua/tv/pult-dlja-bbk-rc-2603</v>
      </c>
    </row>
    <row r="62" spans="1:8" s="18" customFormat="1" ht="15" customHeight="1">
      <c r="A62" s="39">
        <v>3053</v>
      </c>
      <c r="B62" s="26" t="s">
        <v>60</v>
      </c>
      <c r="C62" s="13" t="s">
        <v>14</v>
      </c>
      <c r="D62" s="14"/>
      <c r="E62" s="9">
        <v>67.5</v>
      </c>
      <c r="F62" s="9">
        <f t="shared" si="2"/>
        <v>0</v>
      </c>
      <c r="G62" s="13"/>
      <c r="H62" s="14" t="str">
        <f>HYPERLINK("https://pulti.ua/tv/pult-dlja-bbk-rc-3229")</f>
        <v>https://pulti.ua/tv/pult-dlja-bbk-rc-3229</v>
      </c>
    </row>
    <row r="63" spans="1:8" s="18" customFormat="1" ht="15" customHeight="1">
      <c r="A63" s="39">
        <v>3520</v>
      </c>
      <c r="B63" s="26" t="s">
        <v>61</v>
      </c>
      <c r="C63" s="13" t="s">
        <v>14</v>
      </c>
      <c r="D63" s="14"/>
      <c r="E63" s="9">
        <v>82.5</v>
      </c>
      <c r="F63" s="9">
        <f t="shared" si="2"/>
        <v>0</v>
      </c>
      <c r="G63" s="13"/>
      <c r="H63" s="14" t="str">
        <f>HYPERLINK("https://pulti.ua/tv/pult-dlja-bbk-rc-lem100")</f>
        <v>https://pulti.ua/tv/pult-dlja-bbk-rc-lem100</v>
      </c>
    </row>
    <row r="64" spans="1:8" s="18" customFormat="1" ht="15" customHeight="1">
      <c r="A64" s="39">
        <v>1382</v>
      </c>
      <c r="B64" s="26" t="s">
        <v>62</v>
      </c>
      <c r="C64" s="13" t="s">
        <v>11</v>
      </c>
      <c r="D64" s="14"/>
      <c r="E64" s="9">
        <v>93.8</v>
      </c>
      <c r="F64" s="9">
        <f t="shared" si="2"/>
        <v>0</v>
      </c>
      <c r="G64" s="13"/>
      <c r="H64" s="14" t="str">
        <f>HYPERLINK("https://pulti.ua/tv/pult-dlja-beko-100-nz")</f>
        <v>https://pulti.ua/tv/pult-dlja-beko-100-nz</v>
      </c>
    </row>
    <row r="65" spans="1:8" s="18" customFormat="1" ht="15" customHeight="1">
      <c r="A65" s="39">
        <v>1069</v>
      </c>
      <c r="B65" s="26" t="s">
        <v>63</v>
      </c>
      <c r="C65" s="13" t="s">
        <v>11</v>
      </c>
      <c r="D65" s="14"/>
      <c r="E65" s="9">
        <v>90</v>
      </c>
      <c r="F65" s="9">
        <f t="shared" si="2"/>
        <v>0</v>
      </c>
      <c r="G65" s="13"/>
      <c r="H65" s="14" t="str">
        <f>HYPERLINK("https://pulti.ua/tv/pult-dlja-beko-rc-613311")</f>
        <v>https://pulti.ua/tv/pult-dlja-beko-rc-613311</v>
      </c>
    </row>
    <row r="66" spans="1:8" s="18" customFormat="1" ht="15" customHeight="1">
      <c r="A66" s="11">
        <v>1073</v>
      </c>
      <c r="B66" s="12" t="s">
        <v>64</v>
      </c>
      <c r="C66" s="13" t="s">
        <v>11</v>
      </c>
      <c r="D66" s="14"/>
      <c r="E66" s="9">
        <v>60</v>
      </c>
      <c r="F66" s="9">
        <f t="shared" si="2"/>
        <v>0</v>
      </c>
      <c r="G66" s="13"/>
      <c r="H66" s="14" t="str">
        <f>HYPERLINK("https://pulti.ua/tv/pult-dlja-beko-th-492-sleep")</f>
        <v>https://pulti.ua/tv/pult-dlja-beko-th-492-sleep</v>
      </c>
    </row>
    <row r="67" spans="1:8" s="18" customFormat="1" ht="15" customHeight="1">
      <c r="A67" s="11">
        <v>1074</v>
      </c>
      <c r="B67" s="12" t="s">
        <v>65</v>
      </c>
      <c r="C67" s="13" t="s">
        <v>11</v>
      </c>
      <c r="D67" s="14"/>
      <c r="E67" s="9">
        <v>63.8</v>
      </c>
      <c r="F67" s="9">
        <f t="shared" si="2"/>
        <v>0</v>
      </c>
      <c r="G67" s="13"/>
      <c r="H67" s="14" t="str">
        <f>HYPERLINK("https://pulti.ua/tv/pult-dlja-beko-th-493-menu")</f>
        <v>https://pulti.ua/tv/pult-dlja-beko-th-493-menu</v>
      </c>
    </row>
    <row r="68" spans="1:8" s="18" customFormat="1" ht="15" customHeight="1">
      <c r="A68" s="39">
        <v>4261</v>
      </c>
      <c r="B68" s="26" t="s">
        <v>66</v>
      </c>
      <c r="C68" s="13" t="s">
        <v>14</v>
      </c>
      <c r="D68" s="14"/>
      <c r="E68" s="9">
        <v>93.8</v>
      </c>
      <c r="F68" s="9">
        <f t="shared" si="2"/>
        <v>0</v>
      </c>
      <c r="G68" s="13"/>
      <c r="H68" s="14" t="str">
        <f>HYPERLINK("https://pulti.ua/tv/pult-dlya-blaupunkt-dh1401053645")</f>
        <v>https://pulti.ua/tv/pult-dlya-blaupunkt-dh1401053645</v>
      </c>
    </row>
    <row r="69" spans="1:8" s="18" customFormat="1" ht="15" customHeight="1">
      <c r="A69" s="39">
        <v>3998</v>
      </c>
      <c r="B69" s="26" t="s">
        <v>67</v>
      </c>
      <c r="C69" s="13" t="s">
        <v>14</v>
      </c>
      <c r="D69" s="14"/>
      <c r="E69" s="9">
        <v>95.6</v>
      </c>
      <c r="F69" s="9">
        <f t="shared" si="2"/>
        <v>0</v>
      </c>
      <c r="G69" s="13"/>
      <c r="H69" s="14" t="str">
        <f>HYPERLINK("https://pulti.ua/tv/pult-dlja-bravis-55d2000")</f>
        <v>https://pulti.ua/tv/pult-dlja-bravis-55d2000</v>
      </c>
    </row>
    <row r="70" spans="1:8" s="18" customFormat="1" ht="15" customHeight="1">
      <c r="A70" s="11">
        <v>1446</v>
      </c>
      <c r="B70" s="12" t="s">
        <v>68</v>
      </c>
      <c r="C70" s="13" t="s">
        <v>11</v>
      </c>
      <c r="D70" s="14"/>
      <c r="E70" s="9">
        <v>71.3</v>
      </c>
      <c r="F70" s="9">
        <f t="shared" si="2"/>
        <v>0</v>
      </c>
      <c r="G70" s="13"/>
      <c r="H70" s="14" t="str">
        <f>HYPERLINK("https://pulti.ua/tv/pult-dlja-bravis-br-55wh")</f>
        <v>https://pulti.ua/tv/pult-dlja-bravis-br-55wh</v>
      </c>
    </row>
    <row r="71" spans="1:8" s="18" customFormat="1" ht="15" customHeight="1">
      <c r="A71" s="11">
        <v>1057</v>
      </c>
      <c r="B71" s="12" t="s">
        <v>69</v>
      </c>
      <c r="C71" s="13" t="s">
        <v>11</v>
      </c>
      <c r="D71" s="14"/>
      <c r="E71" s="9">
        <v>58.1</v>
      </c>
      <c r="F71" s="9">
        <f t="shared" si="2"/>
        <v>0</v>
      </c>
      <c r="G71" s="13"/>
      <c r="H71" s="14" t="str">
        <f>HYPERLINK("https://pulti.ua/tv/pult-dlja-bravis-crt141f")</f>
        <v>https://pulti.ua/tv/pult-dlja-bravis-crt141f</v>
      </c>
    </row>
    <row r="72" spans="1:8" s="18" customFormat="1" ht="15" customHeight="1">
      <c r="A72" s="11">
        <v>3987</v>
      </c>
      <c r="B72" s="12" t="s">
        <v>1317</v>
      </c>
      <c r="C72" s="13" t="s">
        <v>14</v>
      </c>
      <c r="D72" s="14"/>
      <c r="E72" s="9">
        <v>61.9</v>
      </c>
      <c r="F72" s="9">
        <f t="shared" si="2"/>
        <v>0</v>
      </c>
      <c r="G72" s="13"/>
      <c r="H72" s="14" t="str">
        <f>HYPERLINK("https://pulti.ua/tv/pult-dlja-bravis-ep-21")</f>
        <v>https://pulti.ua/tv/pult-dlja-bravis-ep-21</v>
      </c>
    </row>
    <row r="73" spans="1:8" s="18" customFormat="1" ht="15" customHeight="1">
      <c r="A73" s="39">
        <v>3212</v>
      </c>
      <c r="B73" s="26" t="s">
        <v>1318</v>
      </c>
      <c r="C73" s="13" t="s">
        <v>14</v>
      </c>
      <c r="D73" s="15" t="s">
        <v>1314</v>
      </c>
      <c r="E73" s="9">
        <v>66</v>
      </c>
      <c r="F73" s="9"/>
      <c r="G73" s="13"/>
      <c r="H73" s="14" t="str">
        <f>HYPERLINK("https://pulti.ua/tv/pult-dlja-bravis-ep-21-led2868")</f>
        <v>https://pulti.ua/tv/pult-dlja-bravis-ep-21-led2868</v>
      </c>
    </row>
    <row r="74" spans="1:8" s="18" customFormat="1" ht="15" customHeight="1">
      <c r="A74" s="39">
        <v>3148</v>
      </c>
      <c r="B74" s="26" t="s">
        <v>70</v>
      </c>
      <c r="C74" s="13" t="s">
        <v>22</v>
      </c>
      <c r="D74" s="14"/>
      <c r="E74" s="9">
        <v>120</v>
      </c>
      <c r="F74" s="9">
        <f aca="true" t="shared" si="3" ref="F74:F108">D74*E74</f>
        <v>0</v>
      </c>
      <c r="G74" s="13"/>
      <c r="H74" s="14" t="str">
        <f>HYPERLINK("https://pulti.ua/tv/pult-dlja-bravis-lc-19a40")</f>
        <v>https://pulti.ua/tv/pult-dlja-bravis-lc-19a40</v>
      </c>
    </row>
    <row r="75" spans="1:8" s="18" customFormat="1" ht="15" customHeight="1">
      <c r="A75" s="39">
        <v>3285</v>
      </c>
      <c r="B75" s="26" t="s">
        <v>71</v>
      </c>
      <c r="C75" s="13" t="s">
        <v>22</v>
      </c>
      <c r="D75" s="14"/>
      <c r="E75" s="9">
        <v>78.8</v>
      </c>
      <c r="F75" s="9">
        <f t="shared" si="3"/>
        <v>0</v>
      </c>
      <c r="G75" s="13"/>
      <c r="H75" s="14" t="str">
        <f>HYPERLINK("https://pulti.ua/tv/pult-dlja-bravis-lcc-2632")</f>
        <v>https://pulti.ua/tv/pult-dlja-bravis-lcc-2632</v>
      </c>
    </row>
    <row r="76" spans="1:8" s="18" customFormat="1" ht="15" customHeight="1">
      <c r="A76" s="11">
        <v>1058</v>
      </c>
      <c r="B76" s="12" t="s">
        <v>72</v>
      </c>
      <c r="C76" s="13" t="s">
        <v>22</v>
      </c>
      <c r="D76" s="14"/>
      <c r="E76" s="9">
        <v>37.5</v>
      </c>
      <c r="F76" s="9">
        <f t="shared" si="3"/>
        <v>0</v>
      </c>
      <c r="G76" s="13"/>
      <c r="H76" s="14" t="str">
        <f>HYPERLINK("https://pulti.ua/tv/pult-dlja-bravis-lcd-tv-black")</f>
        <v>https://pulti.ua/tv/pult-dlja-bravis-lcd-tv-black</v>
      </c>
    </row>
    <row r="77" spans="1:8" s="18" customFormat="1" ht="15" customHeight="1">
      <c r="A77" s="11">
        <v>1061</v>
      </c>
      <c r="B77" s="12" t="s">
        <v>73</v>
      </c>
      <c r="C77" s="13" t="s">
        <v>22</v>
      </c>
      <c r="D77" s="14"/>
      <c r="E77" s="9">
        <v>90</v>
      </c>
      <c r="F77" s="9">
        <f t="shared" si="3"/>
        <v>0</v>
      </c>
      <c r="G77" s="13"/>
      <c r="H77" s="14" t="str">
        <f>HYPERLINK("https://pulti.ua/tv/pult-dlja-bravis-lcd1536b--combo")</f>
        <v>https://pulti.ua/tv/pult-dlja-bravis-lcd1536b--combo</v>
      </c>
    </row>
    <row r="78" spans="1:8" s="18" customFormat="1" ht="15" customHeight="1">
      <c r="A78" s="39">
        <v>3861</v>
      </c>
      <c r="B78" s="26" t="s">
        <v>1319</v>
      </c>
      <c r="C78" s="13" t="s">
        <v>14</v>
      </c>
      <c r="D78" s="14"/>
      <c r="E78" s="9">
        <v>86.3</v>
      </c>
      <c r="F78" s="9">
        <f t="shared" si="3"/>
        <v>0</v>
      </c>
      <c r="G78" s="13"/>
      <c r="H78" s="14" t="str">
        <f>HYPERLINK("https://pulti.ua/tv/pult-dlja-bravis-led-1615")</f>
        <v>https://pulti.ua/tv/pult-dlja-bravis-led-1615</v>
      </c>
    </row>
    <row r="79" spans="1:8" s="18" customFormat="1" ht="15" customHeight="1">
      <c r="A79" s="39">
        <v>3862</v>
      </c>
      <c r="B79" s="26" t="s">
        <v>74</v>
      </c>
      <c r="C79" s="13" t="s">
        <v>14</v>
      </c>
      <c r="D79" s="14"/>
      <c r="E79" s="9">
        <v>90</v>
      </c>
      <c r="F79" s="9">
        <f t="shared" si="3"/>
        <v>0</v>
      </c>
      <c r="G79" s="13"/>
      <c r="H79" s="14" t="str">
        <f>HYPERLINK("https://pulti.ua/tv/pult-dlja-bravis-led-3228")</f>
        <v>https://pulti.ua/tv/pult-dlja-bravis-led-3228</v>
      </c>
    </row>
    <row r="80" spans="1:8" s="18" customFormat="1" ht="15" customHeight="1">
      <c r="A80" s="39">
        <v>3309</v>
      </c>
      <c r="B80" s="26" t="s">
        <v>75</v>
      </c>
      <c r="C80" s="13" t="s">
        <v>14</v>
      </c>
      <c r="D80" s="14"/>
      <c r="E80" s="9">
        <v>63.8</v>
      </c>
      <c r="F80" s="9">
        <f t="shared" si="3"/>
        <v>0</v>
      </c>
      <c r="G80" s="13"/>
      <c r="H80" s="14" t="str">
        <f>HYPERLINK("https://pulti.ua/tv/pult-dlja-bravis-led-3299-15a15m")</f>
        <v>https://pulti.ua/tv/pult-dlja-bravis-led-3299-15a15m</v>
      </c>
    </row>
    <row r="81" spans="1:8" s="18" customFormat="1" ht="15" customHeight="1">
      <c r="A81" s="40">
        <v>4838</v>
      </c>
      <c r="B81" s="41" t="s">
        <v>76</v>
      </c>
      <c r="C81" s="13" t="s">
        <v>14</v>
      </c>
      <c r="D81" s="14"/>
      <c r="E81" s="9">
        <v>69.4</v>
      </c>
      <c r="F81" s="9">
        <f t="shared" si="3"/>
        <v>0</v>
      </c>
      <c r="G81" s="13"/>
      <c r="H81" s="14" t="str">
        <f>HYPERLINK("https://pulti.ua/tv/pult-dlya-bravis-led43d5000")</f>
        <v>https://pulti.ua/tv/pult-dlya-bravis-led43d5000</v>
      </c>
    </row>
    <row r="82" spans="1:8" s="18" customFormat="1" ht="15" customHeight="1">
      <c r="A82" s="39">
        <v>3524</v>
      </c>
      <c r="B82" s="26" t="s">
        <v>77</v>
      </c>
      <c r="C82" s="13" t="s">
        <v>14</v>
      </c>
      <c r="D82" s="14"/>
      <c r="E82" s="9">
        <v>82.5</v>
      </c>
      <c r="F82" s="9">
        <f t="shared" si="3"/>
        <v>0</v>
      </c>
      <c r="G82" s="13"/>
      <c r="H82" s="14" t="str">
        <f>HYPERLINK("https://pulti.ua/tv/pult-dlja-bravis-led-db3200bh")</f>
        <v>https://pulti.ua/tv/pult-dlja-bravis-led-db3200bh</v>
      </c>
    </row>
    <row r="83" spans="1:8" s="18" customFormat="1" ht="15" customHeight="1">
      <c r="A83" s="39">
        <v>3596</v>
      </c>
      <c r="B83" s="26" t="s">
        <v>78</v>
      </c>
      <c r="C83" s="13" t="s">
        <v>14</v>
      </c>
      <c r="D83" s="14"/>
      <c r="E83" s="9">
        <v>82.5</v>
      </c>
      <c r="F83" s="9">
        <f t="shared" si="3"/>
        <v>0</v>
      </c>
      <c r="G83" s="13"/>
      <c r="H83" s="14" t="str">
        <f>HYPERLINK("https://pulti.ua/tv/pult-dlja-bravis-led-eh4720bf")</f>
        <v>https://pulti.ua/tv/pult-dlja-bravis-led-eh4720bf</v>
      </c>
    </row>
    <row r="84" spans="1:8" s="18" customFormat="1" ht="15" customHeight="1">
      <c r="A84" s="39">
        <v>1064</v>
      </c>
      <c r="B84" s="26" t="s">
        <v>79</v>
      </c>
      <c r="C84" s="13" t="s">
        <v>11</v>
      </c>
      <c r="D84" s="14"/>
      <c r="E84" s="9">
        <v>63.8</v>
      </c>
      <c r="F84" s="9">
        <f t="shared" si="3"/>
        <v>0</v>
      </c>
      <c r="G84" s="13"/>
      <c r="H84" s="14" t="str">
        <f>HYPERLINK("https://pulti.ua/tv/pult-dlja-bravis-p01s-n-ic")</f>
        <v>https://pulti.ua/tv/pult-dlja-bravis-p01s-n-ic</v>
      </c>
    </row>
    <row r="85" spans="1:8" s="18" customFormat="1" ht="15" customHeight="1">
      <c r="A85" s="39">
        <v>4265</v>
      </c>
      <c r="B85" s="26" t="s">
        <v>1320</v>
      </c>
      <c r="C85" s="13" t="s">
        <v>14</v>
      </c>
      <c r="D85" s="14"/>
      <c r="E85" s="9">
        <v>67.5</v>
      </c>
      <c r="F85" s="9">
        <f t="shared" si="3"/>
        <v>0</v>
      </c>
      <c r="G85" s="13"/>
      <c r="H85" s="14" t="str">
        <f>HYPERLINK("https://pulti.ua/tv/pult-dlya-bravis-rc01-s512")</f>
        <v>https://pulti.ua/tv/pult-dlya-bravis-rc01-s512</v>
      </c>
    </row>
    <row r="86" spans="1:8" s="18" customFormat="1" ht="15" customHeight="1">
      <c r="A86" s="39">
        <v>3722</v>
      </c>
      <c r="B86" s="26" t="s">
        <v>80</v>
      </c>
      <c r="C86" s="13" t="s">
        <v>14</v>
      </c>
      <c r="D86" s="14"/>
      <c r="E86" s="9">
        <v>105</v>
      </c>
      <c r="F86" s="9">
        <f t="shared" si="3"/>
        <v>0</v>
      </c>
      <c r="G86" s="13"/>
      <c r="H86" s="14" t="str">
        <f>HYPERLINK("https://pulti.ua/tv/pult-dlja-bravis-zsj-5104-ic")</f>
        <v>https://pulti.ua/tv/pult-dlja-bravis-zsj-5104-ic</v>
      </c>
    </row>
    <row r="87" spans="1:8" s="18" customFormat="1" ht="15" customHeight="1">
      <c r="A87" s="39">
        <v>1066</v>
      </c>
      <c r="B87" s="26" t="s">
        <v>81</v>
      </c>
      <c r="C87" s="13" t="s">
        <v>11</v>
      </c>
      <c r="D87" s="14"/>
      <c r="E87" s="9">
        <v>50.6</v>
      </c>
      <c r="F87" s="9">
        <f t="shared" si="3"/>
        <v>0</v>
      </c>
      <c r="G87" s="13"/>
      <c r="H87" s="14" t="str">
        <f>HYPERLINK("https://pulti.ua/tv/pult-dlja-bravis-zvt03-ic")</f>
        <v>https://pulti.ua/tv/pult-dlja-bravis-zvt03-ic</v>
      </c>
    </row>
    <row r="88" spans="1:8" s="18" customFormat="1" ht="15" customHeight="1">
      <c r="A88" s="11">
        <v>1078</v>
      </c>
      <c r="B88" s="12" t="s">
        <v>82</v>
      </c>
      <c r="C88" s="13" t="s">
        <v>22</v>
      </c>
      <c r="D88" s="14"/>
      <c r="E88" s="9">
        <v>86.3</v>
      </c>
      <c r="F88" s="9">
        <f t="shared" si="3"/>
        <v>0</v>
      </c>
      <c r="G88" s="13"/>
      <c r="H88" s="14" t="str">
        <f>HYPERLINK("https://pulti.ua/tv/pult-dlja-cameron-en-21607")</f>
        <v>https://pulti.ua/tv/pult-dlja-cameron-en-21607</v>
      </c>
    </row>
    <row r="89" spans="1:8" s="18" customFormat="1" ht="15" customHeight="1">
      <c r="A89" s="39">
        <v>3381</v>
      </c>
      <c r="B89" s="26" t="s">
        <v>83</v>
      </c>
      <c r="C89" s="13" t="s">
        <v>22</v>
      </c>
      <c r="D89" s="14"/>
      <c r="E89" s="9">
        <v>251.3</v>
      </c>
      <c r="F89" s="9">
        <f t="shared" si="3"/>
        <v>0</v>
      </c>
      <c r="G89" s="13"/>
      <c r="H89" s="14" t="str">
        <f>HYPERLINK("https://pulti.ua/tv/pult-dlja-cameron--ltv-1510")</f>
        <v>https://pulti.ua/tv/pult-dlja-cameron--ltv-1510</v>
      </c>
    </row>
    <row r="90" spans="1:8" s="18" customFormat="1" ht="15" customHeight="1">
      <c r="A90" s="39">
        <v>3977</v>
      </c>
      <c r="B90" s="26" t="s">
        <v>84</v>
      </c>
      <c r="C90" s="13" t="s">
        <v>22</v>
      </c>
      <c r="D90" s="14"/>
      <c r="E90" s="9">
        <v>123.8</v>
      </c>
      <c r="F90" s="9">
        <f t="shared" si="3"/>
        <v>0</v>
      </c>
      <c r="G90" s="13"/>
      <c r="H90" s="14" t="str">
        <f>HYPERLINK("https://pulti.ua/tv/pult-dlja-cameron-lvd-1504")</f>
        <v>https://pulti.ua/tv/pult-dlja-cameron-lvd-1504</v>
      </c>
    </row>
    <row r="91" spans="1:8" s="18" customFormat="1" ht="15" customHeight="1">
      <c r="A91" s="39">
        <v>3572</v>
      </c>
      <c r="B91" s="26" t="s">
        <v>1321</v>
      </c>
      <c r="C91" s="13" t="s">
        <v>14</v>
      </c>
      <c r="D91" s="14"/>
      <c r="E91" s="9">
        <v>210</v>
      </c>
      <c r="F91" s="9">
        <f t="shared" si="3"/>
        <v>0</v>
      </c>
      <c r="G91" s="13"/>
      <c r="H91" s="14" t="str">
        <f>HYPERLINK("https://pulti.ua/tv/pult-dlja-changhong-hof-55d1-3d")</f>
        <v>https://pulti.ua/tv/pult-dlja-changhong-hof-55d1-3d</v>
      </c>
    </row>
    <row r="92" spans="1:8" s="18" customFormat="1" ht="15" customHeight="1">
      <c r="A92" s="39">
        <v>1104</v>
      </c>
      <c r="B92" s="26" t="s">
        <v>1322</v>
      </c>
      <c r="C92" s="13" t="s">
        <v>11</v>
      </c>
      <c r="D92" s="14"/>
      <c r="E92" s="9">
        <v>63.8</v>
      </c>
      <c r="F92" s="9">
        <f t="shared" si="3"/>
        <v>0</v>
      </c>
      <c r="G92" s="13"/>
      <c r="H92" s="14" t="str">
        <f>HYPERLINK("https://pulti.ua/tv/pult-dlja-china-tv-daewoo-wega-tva-lg-55k8a-korpus-lg---ic")</f>
        <v>https://pulti.ua/tv/pult-dlja-china-tv-daewoo-wega-tva-lg-55k8a-korpus-lg---ic</v>
      </c>
    </row>
    <row r="93" spans="1:8" s="18" customFormat="1" ht="15" customHeight="1">
      <c r="A93" s="39">
        <v>3070</v>
      </c>
      <c r="B93" s="26" t="s">
        <v>85</v>
      </c>
      <c r="C93" s="13" t="s">
        <v>11</v>
      </c>
      <c r="D93" s="14"/>
      <c r="E93" s="9">
        <v>52.5</v>
      </c>
      <c r="F93" s="9">
        <f t="shared" si="3"/>
        <v>0</v>
      </c>
      <c r="G93" s="13"/>
      <c r="H93" s="14" t="str">
        <f>HYPERLINK("https://pulti.ua/tv/pult-dlja-china-tv--55k9r-p81")</f>
        <v>https://pulti.ua/tv/pult-dlja-china-tv--55k9r-p81</v>
      </c>
    </row>
    <row r="94" spans="1:8" s="18" customFormat="1" ht="15" customHeight="1">
      <c r="A94" s="11">
        <v>1107</v>
      </c>
      <c r="B94" s="12" t="s">
        <v>86</v>
      </c>
      <c r="C94" s="13" t="s">
        <v>22</v>
      </c>
      <c r="D94" s="14"/>
      <c r="E94" s="9">
        <v>41.3</v>
      </c>
      <c r="F94" s="9">
        <f t="shared" si="3"/>
        <v>0</v>
      </c>
      <c r="G94" s="13"/>
      <c r="H94" s="14" t="str">
        <f>HYPERLINK("https://pulti.ua/tv/pult-dlja-china-tv-casing-107n-mini-noc")</f>
        <v>https://pulti.ua/tv/pult-dlja-china-tv-casing-107n-mini-noc</v>
      </c>
    </row>
    <row r="95" spans="1:8" s="18" customFormat="1" ht="15" customHeight="1">
      <c r="A95" s="39">
        <v>3071</v>
      </c>
      <c r="B95" s="26" t="s">
        <v>87</v>
      </c>
      <c r="C95" s="13" t="s">
        <v>11</v>
      </c>
      <c r="D95" s="14"/>
      <c r="E95" s="9">
        <v>90</v>
      </c>
      <c r="F95" s="9">
        <f t="shared" si="3"/>
        <v>0</v>
      </c>
      <c r="G95" s="13"/>
      <c r="H95" s="14" t="str">
        <f>HYPERLINK("https://pulti.ua/tv/pult-dlja-china-tv--klx-14pas")</f>
        <v>https://pulti.ua/tv/pult-dlja-china-tv--klx-14pas</v>
      </c>
    </row>
    <row r="96" spans="1:8" s="18" customFormat="1" ht="15" customHeight="1">
      <c r="A96" s="11">
        <v>1103</v>
      </c>
      <c r="B96" s="12" t="s">
        <v>1323</v>
      </c>
      <c r="C96" s="13" t="s">
        <v>11</v>
      </c>
      <c r="D96" s="14"/>
      <c r="E96" s="9">
        <v>54.4</v>
      </c>
      <c r="F96" s="9">
        <f t="shared" si="3"/>
        <v>0</v>
      </c>
      <c r="G96" s="13"/>
      <c r="H96" s="14" t="str">
        <f>HYPERLINK("https://pulti.ua/tv/pult-dlja-china-tv-daewoo-wega-lg--klx-55k9h-korpus-sharp")</f>
        <v>https://pulti.ua/tv/pult-dlja-china-tv-daewoo-wega-lg--klx-55k9h-korpus-sharp</v>
      </c>
    </row>
    <row r="97" spans="1:8" s="18" customFormat="1" ht="15" customHeight="1">
      <c r="A97" s="39">
        <v>1105</v>
      </c>
      <c r="B97" s="26" t="s">
        <v>88</v>
      </c>
      <c r="C97" s="13" t="s">
        <v>11</v>
      </c>
      <c r="D97" s="14"/>
      <c r="E97" s="9">
        <v>56.3</v>
      </c>
      <c r="F97" s="9">
        <f t="shared" si="3"/>
        <v>0</v>
      </c>
      <c r="G97" s="13"/>
      <c r="H97" s="14" t="str">
        <f>HYPERLINK("https://pulti.ua/tv/pult-dlja-china-tv-daewoo-wega-lg-konka-hx55k8--korpus-konka--ic")</f>
        <v>https://pulti.ua/tv/pult-dlja-china-tv-daewoo-wega-lg-konka-hx55k8--korpus-konka--ic</v>
      </c>
    </row>
    <row r="98" spans="1:8" s="18" customFormat="1" ht="15" customHeight="1">
      <c r="A98" s="11">
        <v>1101</v>
      </c>
      <c r="B98" s="12" t="s">
        <v>89</v>
      </c>
      <c r="C98" s="13" t="s">
        <v>22</v>
      </c>
      <c r="D98" s="14"/>
      <c r="E98" s="9">
        <v>33.8</v>
      </c>
      <c r="F98" s="9">
        <f t="shared" si="3"/>
        <v>0</v>
      </c>
      <c r="G98" s="13"/>
      <c r="H98" s="14" t="str">
        <f>HYPERLINK("https://pulti.ua/tv/pult-dlja-china-tv-lcd-1906")</f>
        <v>https://pulti.ua/tv/pult-dlja-china-tv-lcd-1906</v>
      </c>
    </row>
    <row r="99" spans="1:8" s="18" customFormat="1" ht="15" customHeight="1">
      <c r="A99" s="11">
        <v>1102</v>
      </c>
      <c r="B99" s="12" t="s">
        <v>90</v>
      </c>
      <c r="C99" s="13" t="s">
        <v>11</v>
      </c>
      <c r="D99" s="14"/>
      <c r="E99" s="9">
        <v>41.3</v>
      </c>
      <c r="F99" s="9">
        <f t="shared" si="3"/>
        <v>0</v>
      </c>
      <c r="G99" s="13"/>
      <c r="H99" s="14" t="str">
        <f>HYPERLINK("https://pulti.ua/tv/pult-dlja-china-tv-daewoo-wega-lg--xu-5z51s--korpus-sharp")</f>
        <v>https://pulti.ua/tv/pult-dlja-china-tv-daewoo-wega-lg--xu-5z51s--korpus-sharp</v>
      </c>
    </row>
    <row r="100" spans="1:8" s="18" customFormat="1" ht="15" customHeight="1">
      <c r="A100" s="39">
        <v>3410</v>
      </c>
      <c r="B100" s="26" t="s">
        <v>91</v>
      </c>
      <c r="C100" s="13" t="s">
        <v>11</v>
      </c>
      <c r="D100" s="14"/>
      <c r="E100" s="9">
        <v>71.3</v>
      </c>
      <c r="F100" s="9">
        <f t="shared" si="3"/>
        <v>0</v>
      </c>
      <c r="G100" s="13"/>
      <c r="H100" s="14" t="str">
        <f>HYPERLINK("https://pulti.ua/tv/pult-dlja-china-tv-daewoo-wega-lg--xu-5z51s--korpus-sharp---ic")</f>
        <v>https://pulti.ua/tv/pult-dlja-china-tv-daewoo-wega-lg--xu-5z51s--korpus-sharp---ic</v>
      </c>
    </row>
    <row r="101" spans="1:8" s="18" customFormat="1" ht="15" customHeight="1">
      <c r="A101" s="39">
        <v>1109</v>
      </c>
      <c r="B101" s="26" t="s">
        <v>92</v>
      </c>
      <c r="C101" s="13" t="s">
        <v>11</v>
      </c>
      <c r="D101" s="14"/>
      <c r="E101" s="9">
        <v>101.3</v>
      </c>
      <c r="F101" s="9">
        <f t="shared" si="3"/>
        <v>0</v>
      </c>
      <c r="G101" s="13"/>
      <c r="H101" s="14" t="str">
        <f>HYPERLINK("https://pulti.ua/tv/pult-dlja-corfug--for-chb-tv")</f>
        <v>https://pulti.ua/tv/pult-dlja-corfug--for-chb-tv</v>
      </c>
    </row>
    <row r="102" spans="1:8" s="18" customFormat="1" ht="15" customHeight="1">
      <c r="A102" s="11">
        <v>1108</v>
      </c>
      <c r="B102" s="12" t="s">
        <v>93</v>
      </c>
      <c r="C102" s="13" t="s">
        <v>11</v>
      </c>
      <c r="D102" s="14"/>
      <c r="E102" s="9">
        <v>86.3</v>
      </c>
      <c r="F102" s="9">
        <f t="shared" si="3"/>
        <v>0</v>
      </c>
      <c r="G102" s="13"/>
      <c r="H102" s="14" t="str">
        <f>HYPERLINK("https://pulti.ua/tyunera/pult-dlja-cosmosat-cs-77-ext-tv-tuner")</f>
        <v>https://pulti.ua/tyunera/pult-dlja-cosmosat-cs-77-ext-tv-tuner</v>
      </c>
    </row>
    <row r="103" spans="1:8" s="18" customFormat="1" ht="15" customHeight="1">
      <c r="A103" s="11">
        <v>1111</v>
      </c>
      <c r="B103" s="12" t="s">
        <v>94</v>
      </c>
      <c r="C103" s="13" t="s">
        <v>11</v>
      </c>
      <c r="D103" s="14"/>
      <c r="E103" s="9">
        <v>60</v>
      </c>
      <c r="F103" s="9">
        <f t="shared" si="3"/>
        <v>0</v>
      </c>
      <c r="G103" s="13"/>
      <c r="H103" s="14" t="str">
        <f>HYPERLINK("https://pulti.ua/tv/pult-dlja-daewoo-dta1414")</f>
        <v>https://pulti.ua/tv/pult-dlja-daewoo-dta1414</v>
      </c>
    </row>
    <row r="104" spans="1:8" s="18" customFormat="1" ht="15" customHeight="1">
      <c r="A104" s="39">
        <v>3411</v>
      </c>
      <c r="B104" s="26" t="s">
        <v>95</v>
      </c>
      <c r="C104" s="13" t="s">
        <v>11</v>
      </c>
      <c r="D104" s="14"/>
      <c r="E104" s="9">
        <v>56.3</v>
      </c>
      <c r="F104" s="9">
        <f t="shared" si="3"/>
        <v>0</v>
      </c>
      <c r="G104" s="13"/>
      <c r="H104" s="14" t="str">
        <f>HYPERLINK("https://pulti.ua/tv/pult-dlja-daewoo-hydfsr-0048uocd-ic")</f>
        <v>https://pulti.ua/tv/pult-dlja-daewoo-hydfsr-0048uocd-ic</v>
      </c>
    </row>
    <row r="105" spans="1:8" s="18" customFormat="1" ht="15" customHeight="1">
      <c r="A105" s="11">
        <v>1113</v>
      </c>
      <c r="B105" s="12" t="s">
        <v>96</v>
      </c>
      <c r="C105" s="13" t="s">
        <v>11</v>
      </c>
      <c r="D105" s="14"/>
      <c r="E105" s="9">
        <v>63.8</v>
      </c>
      <c r="F105" s="9">
        <f t="shared" si="3"/>
        <v>0</v>
      </c>
      <c r="G105" s="13"/>
      <c r="H105" s="14" t="str">
        <f>HYPERLINK("https://pulti.ua/tv/pult-dlja-daewoo-r-18a07")</f>
        <v>https://pulti.ua/tv/pult-dlja-daewoo-r-18a07</v>
      </c>
    </row>
    <row r="106" spans="1:8" s="18" customFormat="1" ht="15" customHeight="1">
      <c r="A106" s="11">
        <v>1115</v>
      </c>
      <c r="B106" s="12" t="s">
        <v>97</v>
      </c>
      <c r="C106" s="13" t="s">
        <v>11</v>
      </c>
      <c r="D106" s="14"/>
      <c r="E106" s="9">
        <v>67.5</v>
      </c>
      <c r="F106" s="9">
        <f t="shared" si="3"/>
        <v>0</v>
      </c>
      <c r="G106" s="13"/>
      <c r="H106" s="14" t="str">
        <f>HYPERLINK("https://pulti.ua/tv/pult-dlja-daewoo-r-22")</f>
        <v>https://pulti.ua/tv/pult-dlja-daewoo-r-22</v>
      </c>
    </row>
    <row r="107" spans="1:8" s="18" customFormat="1" ht="15" customHeight="1">
      <c r="A107" s="11">
        <v>1116</v>
      </c>
      <c r="B107" s="12" t="s">
        <v>98</v>
      </c>
      <c r="C107" s="13" t="s">
        <v>11</v>
      </c>
      <c r="D107" s="14"/>
      <c r="E107" s="9">
        <v>60</v>
      </c>
      <c r="F107" s="9">
        <f t="shared" si="3"/>
        <v>0</v>
      </c>
      <c r="G107" s="13"/>
      <c r="H107" s="14" t="str">
        <f>HYPERLINK("https://pulti.ua/tv/pult-dlja-daewoo-r-25")</f>
        <v>https://pulti.ua/tv/pult-dlja-daewoo-r-25</v>
      </c>
    </row>
    <row r="108" spans="1:8" s="18" customFormat="1" ht="15" customHeight="1">
      <c r="A108" s="11">
        <v>1124</v>
      </c>
      <c r="B108" s="12" t="s">
        <v>99</v>
      </c>
      <c r="C108" s="13" t="s">
        <v>11</v>
      </c>
      <c r="D108" s="14"/>
      <c r="E108" s="9">
        <v>48.8</v>
      </c>
      <c r="F108" s="9">
        <f t="shared" si="3"/>
        <v>0</v>
      </c>
      <c r="G108" s="13"/>
      <c r="H108" s="14" t="str">
        <f>HYPERLINK("https://pulti.ua/tv/pult-dlja-daewoo-r-40a01")</f>
        <v>https://pulti.ua/tv/pult-dlja-daewoo-r-40a01</v>
      </c>
    </row>
    <row r="109" spans="1:8" s="18" customFormat="1" ht="15" customHeight="1">
      <c r="A109" s="39">
        <v>2694</v>
      </c>
      <c r="B109" s="26" t="s">
        <v>100</v>
      </c>
      <c r="C109" s="13" t="s">
        <v>11</v>
      </c>
      <c r="D109" s="15" t="s">
        <v>1314</v>
      </c>
      <c r="E109" s="9">
        <v>52.5</v>
      </c>
      <c r="F109" s="9"/>
      <c r="G109" s="13"/>
      <c r="H109" s="14" t="str">
        <f>HYPERLINK("https://pulti.ua/tv/pult-dlja-daewoo-r-40a01-ic")</f>
        <v>https://pulti.ua/tv/pult-dlja-daewoo-r-40a01-ic</v>
      </c>
    </row>
    <row r="110" spans="1:8" s="18" customFormat="1" ht="15" customHeight="1">
      <c r="A110" s="11">
        <v>2687</v>
      </c>
      <c r="B110" s="12" t="s">
        <v>101</v>
      </c>
      <c r="C110" s="13" t="s">
        <v>11</v>
      </c>
      <c r="D110" s="14"/>
      <c r="E110" s="9">
        <v>45</v>
      </c>
      <c r="F110" s="9">
        <f aca="true" t="shared" si="4" ref="F110:F120">D110*E110</f>
        <v>0</v>
      </c>
      <c r="G110" s="13"/>
      <c r="H110" s="14" t="str">
        <f>HYPERLINK("https://pulti.ua/tv/pult-dlja-daewoo-r-40a01-serii-korpus")</f>
        <v>https://pulti.ua/tv/pult-dlja-daewoo-r-40a01-serii-korpus</v>
      </c>
    </row>
    <row r="111" spans="1:8" s="18" customFormat="1" ht="15" customHeight="1">
      <c r="A111" s="11">
        <v>1127</v>
      </c>
      <c r="B111" s="12" t="s">
        <v>102</v>
      </c>
      <c r="C111" s="13" t="s">
        <v>11</v>
      </c>
      <c r="D111" s="14"/>
      <c r="E111" s="9">
        <v>82.5</v>
      </c>
      <c r="F111" s="9">
        <f t="shared" si="4"/>
        <v>0</v>
      </c>
      <c r="G111" s="13"/>
      <c r="H111" s="14" t="str">
        <f>HYPERLINK("https://pulti.ua/tv/pult-dlja-daewoo-r-40a06")</f>
        <v>https://pulti.ua/tv/pult-dlja-daewoo-r-40a06</v>
      </c>
    </row>
    <row r="112" spans="1:8" s="18" customFormat="1" ht="15" customHeight="1">
      <c r="A112" s="11">
        <v>1131</v>
      </c>
      <c r="B112" s="12" t="s">
        <v>103</v>
      </c>
      <c r="C112" s="13" t="s">
        <v>11</v>
      </c>
      <c r="D112" s="14"/>
      <c r="E112" s="9">
        <v>56.3</v>
      </c>
      <c r="F112" s="9">
        <f t="shared" si="4"/>
        <v>0</v>
      </c>
      <c r="G112" s="13"/>
      <c r="H112" s="14" t="str">
        <f>HYPERLINK("https://pulti.ua/tv/pult-dlja-daewoo-r-40b07")</f>
        <v>https://pulti.ua/tv/pult-dlja-daewoo-r-40b07</v>
      </c>
    </row>
    <row r="113" spans="1:8" s="18" customFormat="1" ht="15" customHeight="1">
      <c r="A113" s="11">
        <v>1133</v>
      </c>
      <c r="B113" s="12" t="s">
        <v>104</v>
      </c>
      <c r="C113" s="13" t="s">
        <v>11</v>
      </c>
      <c r="D113" s="14"/>
      <c r="E113" s="9">
        <v>101.3</v>
      </c>
      <c r="F113" s="9">
        <f t="shared" si="4"/>
        <v>0</v>
      </c>
      <c r="G113" s="13"/>
      <c r="H113" s="14" t="str">
        <f>HYPERLINK("https://pulti.ua/tv/pult-dlja-daewoo-r-44ds01")</f>
        <v>https://pulti.ua/tv/pult-dlja-daewoo-r-44ds01</v>
      </c>
    </row>
    <row r="114" spans="1:8" s="18" customFormat="1" ht="15" customHeight="1">
      <c r="A114" s="39">
        <v>2696</v>
      </c>
      <c r="B114" s="26" t="s">
        <v>105</v>
      </c>
      <c r="C114" s="13" t="s">
        <v>11</v>
      </c>
      <c r="D114" s="14"/>
      <c r="E114" s="9">
        <v>56.3</v>
      </c>
      <c r="F114" s="9">
        <f t="shared" si="4"/>
        <v>0</v>
      </c>
      <c r="G114" s="13"/>
      <c r="H114" s="14" t="str">
        <f>HYPERLINK("https://pulti.ua/tv/pult-dlja-daewoo-r-48a01-ic")</f>
        <v>https://pulti.ua/tv/pult-dlja-daewoo-r-48a01-ic</v>
      </c>
    </row>
    <row r="115" spans="1:8" s="18" customFormat="1" ht="15" customHeight="1">
      <c r="A115" s="11">
        <v>1145</v>
      </c>
      <c r="B115" s="12" t="s">
        <v>106</v>
      </c>
      <c r="C115" s="13" t="s">
        <v>22</v>
      </c>
      <c r="D115" s="14"/>
      <c r="E115" s="9">
        <v>112.5</v>
      </c>
      <c r="F115" s="9">
        <f t="shared" si="4"/>
        <v>0</v>
      </c>
      <c r="G115" s="13"/>
      <c r="H115" s="14" t="str">
        <f>HYPERLINK("https://pulti.ua/tv/pult-dlja-daewoo-r-55g10")</f>
        <v>https://pulti.ua/tv/pult-dlja-daewoo-r-55g10</v>
      </c>
    </row>
    <row r="116" spans="1:8" s="18" customFormat="1" ht="15" customHeight="1">
      <c r="A116" s="11">
        <v>1144</v>
      </c>
      <c r="B116" s="12" t="s">
        <v>107</v>
      </c>
      <c r="C116" s="13" t="s">
        <v>22</v>
      </c>
      <c r="D116" s="14"/>
      <c r="E116" s="9">
        <v>112.5</v>
      </c>
      <c r="F116" s="9">
        <f t="shared" si="4"/>
        <v>0</v>
      </c>
      <c r="G116" s="13"/>
      <c r="H116" s="14" t="str">
        <f>HYPERLINK("https://pulti.ua/tv/pult-dlja-daewoo-r-55h11")</f>
        <v>https://pulti.ua/tv/pult-dlja-daewoo-r-55h11</v>
      </c>
    </row>
    <row r="117" spans="1:8" s="18" customFormat="1" ht="15" customHeight="1">
      <c r="A117" s="39">
        <v>1142</v>
      </c>
      <c r="B117" s="26" t="s">
        <v>108</v>
      </c>
      <c r="C117" s="13" t="s">
        <v>22</v>
      </c>
      <c r="D117" s="14"/>
      <c r="E117" s="9">
        <v>161.3</v>
      </c>
      <c r="F117" s="9">
        <f t="shared" si="4"/>
        <v>0</v>
      </c>
      <c r="G117" s="13"/>
      <c r="H117" s="14" t="str">
        <f>HYPERLINK("https://pulti.ua/tv/pult-dlja-daewoo-r-59a01")</f>
        <v>https://pulti.ua/tv/pult-dlja-daewoo-r-59a01</v>
      </c>
    </row>
    <row r="118" spans="1:8" s="18" customFormat="1" ht="15" customHeight="1">
      <c r="A118" s="39">
        <v>1143</v>
      </c>
      <c r="B118" s="26" t="s">
        <v>109</v>
      </c>
      <c r="C118" s="13" t="s">
        <v>22</v>
      </c>
      <c r="D118" s="14"/>
      <c r="E118" s="9">
        <v>82.5</v>
      </c>
      <c r="F118" s="9">
        <f t="shared" si="4"/>
        <v>0</v>
      </c>
      <c r="G118" s="13"/>
      <c r="H118" s="14" t="str">
        <f>HYPERLINK("https://pulti.ua/tv/pult-dlja-daewoo-r-59b01")</f>
        <v>https://pulti.ua/tv/pult-dlja-daewoo-r-59b01</v>
      </c>
    </row>
    <row r="119" spans="1:8" s="18" customFormat="1" ht="15" customHeight="1">
      <c r="A119" s="11">
        <v>1146</v>
      </c>
      <c r="B119" s="12" t="s">
        <v>110</v>
      </c>
      <c r="C119" s="13" t="s">
        <v>11</v>
      </c>
      <c r="D119" s="14"/>
      <c r="E119" s="9">
        <v>105</v>
      </c>
      <c r="F119" s="9">
        <f t="shared" si="4"/>
        <v>0</v>
      </c>
      <c r="G119" s="13"/>
      <c r="H119" s="14" t="str">
        <f>HYPERLINK("https://pulti.ua/tv/pult-dlja-daewoo-r-9a")</f>
        <v>https://pulti.ua/tv/pult-dlja-daewoo-r-9a</v>
      </c>
    </row>
    <row r="120" spans="1:8" s="18" customFormat="1" ht="15" customHeight="1">
      <c r="A120" s="39">
        <v>3016</v>
      </c>
      <c r="B120" s="26" t="s">
        <v>111</v>
      </c>
      <c r="C120" s="13" t="s">
        <v>22</v>
      </c>
      <c r="D120" s="14"/>
      <c r="E120" s="9">
        <v>161.3</v>
      </c>
      <c r="F120" s="9">
        <f t="shared" si="4"/>
        <v>0</v>
      </c>
      <c r="G120" s="13"/>
      <c r="H120" s="14" t="str">
        <f>HYPERLINK("https://pulti.ua/tv/pult-dlja-daewoo-rc-dwt01-v01")</f>
        <v>https://pulti.ua/tv/pult-dlja-daewoo-rc-dwt01-v01</v>
      </c>
    </row>
    <row r="121" spans="1:8" s="18" customFormat="1" ht="15" customHeight="1">
      <c r="A121" s="39">
        <v>2905</v>
      </c>
      <c r="B121" s="26" t="s">
        <v>1324</v>
      </c>
      <c r="C121" s="13" t="s">
        <v>22</v>
      </c>
      <c r="D121" s="15" t="s">
        <v>1314</v>
      </c>
      <c r="E121" s="9">
        <v>67.5</v>
      </c>
      <c r="F121" s="9"/>
      <c r="G121" s="13"/>
      <c r="H121" s="14" t="str">
        <f>HYPERLINK("https://pulti.ua/tv/pult-dlja-dex-le-1970")</f>
        <v>https://pulti.ua/tv/pult-dlja-dex-le-1970</v>
      </c>
    </row>
    <row r="122" spans="1:8" s="18" customFormat="1" ht="15" customHeight="1">
      <c r="A122" s="39">
        <v>3723</v>
      </c>
      <c r="B122" s="26" t="s">
        <v>112</v>
      </c>
      <c r="C122" s="13" t="s">
        <v>14</v>
      </c>
      <c r="D122" s="14"/>
      <c r="E122" s="9">
        <v>84.4</v>
      </c>
      <c r="F122" s="9">
        <f aca="true" t="shared" si="5" ref="F122:F185">D122*E122</f>
        <v>0</v>
      </c>
      <c r="G122" s="13"/>
      <c r="H122" s="14" t="str">
        <f>HYPERLINK("https://pulti.ua/tv/pult-dlja-dex-le2845t2-ic")</f>
        <v>https://pulti.ua/tv/pult-dlja-dex-le2845t2-ic</v>
      </c>
    </row>
    <row r="123" spans="1:8" s="18" customFormat="1" ht="15" customHeight="1">
      <c r="A123" s="39">
        <v>2906</v>
      </c>
      <c r="B123" s="26" t="s">
        <v>113</v>
      </c>
      <c r="C123" s="13" t="s">
        <v>22</v>
      </c>
      <c r="D123" s="14"/>
      <c r="E123" s="9">
        <v>73.1</v>
      </c>
      <c r="F123" s="9">
        <f t="shared" si="5"/>
        <v>0</v>
      </c>
      <c r="G123" s="13"/>
      <c r="H123" s="14" t="str">
        <f>HYPERLINK("https://pulti.ua/tv/pult-dlja-dex-lt-2220-ic")</f>
        <v>https://pulti.ua/tv/pult-dlja-dex-lt-2220-ic</v>
      </c>
    </row>
    <row r="124" spans="1:8" s="18" customFormat="1" ht="15" customHeight="1">
      <c r="A124" s="39">
        <v>4332</v>
      </c>
      <c r="B124" s="26" t="s">
        <v>114</v>
      </c>
      <c r="C124" s="13" t="s">
        <v>14</v>
      </c>
      <c r="D124" s="14"/>
      <c r="E124" s="9">
        <v>116.3</v>
      </c>
      <c r="F124" s="9">
        <f t="shared" si="5"/>
        <v>0</v>
      </c>
      <c r="G124" s="13"/>
      <c r="H124" s="14" t="str">
        <f>HYPERLINK("https://pulti.ua/tv/pult-dlya-dexp-32a7000")</f>
        <v>https://pulti.ua/tv/pult-dlya-dexp-32a7000</v>
      </c>
    </row>
    <row r="125" spans="1:8" s="18" customFormat="1" ht="15" customHeight="1">
      <c r="A125" s="39">
        <v>4334</v>
      </c>
      <c r="B125" s="26" t="s">
        <v>115</v>
      </c>
      <c r="C125" s="13" t="s">
        <v>14</v>
      </c>
      <c r="D125" s="14"/>
      <c r="E125" s="9">
        <v>135</v>
      </c>
      <c r="F125" s="9">
        <f t="shared" si="5"/>
        <v>0</v>
      </c>
      <c r="G125" s="13"/>
      <c r="H125" s="14" t="str">
        <f>HYPERLINK("https://pulti.ua/tv/pult-dlya-dexp-er-22601a")</f>
        <v>https://pulti.ua/tv/pult-dlya-dexp-er-22601a</v>
      </c>
    </row>
    <row r="126" spans="1:8" s="18" customFormat="1" ht="15" customHeight="1">
      <c r="A126" s="11">
        <v>2841</v>
      </c>
      <c r="B126" s="12" t="s">
        <v>116</v>
      </c>
      <c r="C126" s="13" t="s">
        <v>11</v>
      </c>
      <c r="D126" s="14"/>
      <c r="E126" s="9">
        <v>61.9</v>
      </c>
      <c r="F126" s="9">
        <f t="shared" si="5"/>
        <v>0</v>
      </c>
      <c r="G126" s="13"/>
      <c r="H126" s="14" t="str">
        <f>HYPERLINK("https://pulti.ua/tv/pult-dlja-digital-s2113s")</f>
        <v>https://pulti.ua/tv/pult-dlja-digital-s2113s</v>
      </c>
    </row>
    <row r="127" spans="1:8" s="18" customFormat="1" ht="15" customHeight="1">
      <c r="A127" s="11">
        <v>2843</v>
      </c>
      <c r="B127" s="12" t="s">
        <v>117</v>
      </c>
      <c r="C127" s="13" t="s">
        <v>11</v>
      </c>
      <c r="D127" s="14"/>
      <c r="E127" s="9">
        <v>61.9</v>
      </c>
      <c r="F127" s="9">
        <f t="shared" si="5"/>
        <v>0</v>
      </c>
      <c r="G127" s="13"/>
      <c r="H127" s="14" t="str">
        <f>HYPERLINK("https://pulti.ua/tv/pult-dlja-distar-dr-mn6014w")</f>
        <v>https://pulti.ua/tv/pult-dlja-distar-dr-mn6014w</v>
      </c>
    </row>
    <row r="128" spans="1:8" s="18" customFormat="1" ht="15" customHeight="1">
      <c r="A128" s="39">
        <v>2844</v>
      </c>
      <c r="B128" s="26" t="s">
        <v>118</v>
      </c>
      <c r="C128" s="13" t="s">
        <v>22</v>
      </c>
      <c r="D128" s="14"/>
      <c r="E128" s="9">
        <v>123.8</v>
      </c>
      <c r="F128" s="9">
        <f t="shared" si="5"/>
        <v>0</v>
      </c>
      <c r="G128" s="13"/>
      <c r="H128" s="14" t="str">
        <f>HYPERLINK("https://pulti.ua/tv/pult-dlja-dmtech-lc03-ar028a")</f>
        <v>https://pulti.ua/tv/pult-dlja-dmtech-lc03-ar028a</v>
      </c>
    </row>
    <row r="129" spans="1:8" s="18" customFormat="1" ht="15" customHeight="1">
      <c r="A129" s="11">
        <v>2845</v>
      </c>
      <c r="B129" s="12" t="s">
        <v>119</v>
      </c>
      <c r="C129" s="13" t="s">
        <v>11</v>
      </c>
      <c r="D129" s="14"/>
      <c r="E129" s="9">
        <v>82.5</v>
      </c>
      <c r="F129" s="9">
        <f t="shared" si="5"/>
        <v>0</v>
      </c>
      <c r="G129" s="13"/>
      <c r="H129" s="14" t="str">
        <f>HYPERLINK("https://pulti.ua/tv/pult-dlja-domotec-8073b00")</f>
        <v>https://pulti.ua/tv/pult-dlja-domotec-8073b00</v>
      </c>
    </row>
    <row r="130" spans="1:8" s="18" customFormat="1" ht="15" customHeight="1">
      <c r="A130" s="39">
        <v>2847</v>
      </c>
      <c r="B130" s="26" t="s">
        <v>120</v>
      </c>
      <c r="C130" s="13" t="s">
        <v>11</v>
      </c>
      <c r="D130" s="14"/>
      <c r="E130" s="9">
        <v>58.1</v>
      </c>
      <c r="F130" s="9">
        <f t="shared" si="5"/>
        <v>0</v>
      </c>
      <c r="G130" s="13"/>
      <c r="H130" s="14" t="str">
        <f>HYPERLINK("https://pulti.ua/tv/pult-dlja-electron-kex2d-c6")</f>
        <v>https://pulti.ua/tv/pult-dlja-electron-kex2d-c6</v>
      </c>
    </row>
    <row r="131" spans="1:8" s="18" customFormat="1" ht="15" customHeight="1">
      <c r="A131" s="11">
        <v>1647</v>
      </c>
      <c r="B131" s="12" t="s">
        <v>121</v>
      </c>
      <c r="C131" s="13" t="s">
        <v>11</v>
      </c>
      <c r="D131" s="14"/>
      <c r="E131" s="9">
        <v>37.5</v>
      </c>
      <c r="F131" s="9">
        <f t="shared" si="5"/>
        <v>0</v>
      </c>
      <c r="G131" s="13"/>
      <c r="H131" s="14" t="str">
        <f>HYPERLINK("https://pulti.ua/tv/pult-dlja-rainford-rc-817")</f>
        <v>https://pulti.ua/tv/pult-dlja-rainford-rc-817</v>
      </c>
    </row>
    <row r="132" spans="1:8" s="18" customFormat="1" ht="15" customHeight="1">
      <c r="A132" s="11">
        <v>2849</v>
      </c>
      <c r="B132" s="12" t="s">
        <v>122</v>
      </c>
      <c r="C132" s="13" t="s">
        <v>11</v>
      </c>
      <c r="D132" s="14"/>
      <c r="E132" s="9">
        <v>45</v>
      </c>
      <c r="F132" s="9">
        <f t="shared" si="5"/>
        <v>0</v>
      </c>
      <c r="G132" s="13"/>
      <c r="H132" s="14" t="str">
        <f>HYPERLINK("https://pulti.ua/tv/pult-dlja-electron-rc-gk22g1-ic")</f>
        <v>https://pulti.ua/tv/pult-dlja-electron-rc-gk22g1-ic</v>
      </c>
    </row>
    <row r="133" spans="1:8" s="18" customFormat="1" ht="15" customHeight="1">
      <c r="A133" s="39">
        <v>3525</v>
      </c>
      <c r="B133" s="26" t="s">
        <v>123</v>
      </c>
      <c r="C133" s="13" t="s">
        <v>11</v>
      </c>
      <c r="D133" s="14"/>
      <c r="E133" s="9">
        <v>105</v>
      </c>
      <c r="F133" s="9">
        <f t="shared" si="5"/>
        <v>0</v>
      </c>
      <c r="G133" s="13"/>
      <c r="H133" s="14" t="str">
        <f>HYPERLINK("https://pulti.ua/tv/pult-dlja-electron-rk-41a-kak-original")</f>
        <v>https://pulti.ua/tv/pult-dlja-electron-rk-41a-kak-original</v>
      </c>
    </row>
    <row r="134" spans="1:8" s="18" customFormat="1" ht="15" customHeight="1">
      <c r="A134" s="39">
        <v>2846</v>
      </c>
      <c r="B134" s="26" t="s">
        <v>124</v>
      </c>
      <c r="C134" s="13" t="s">
        <v>11</v>
      </c>
      <c r="D134" s="14"/>
      <c r="E134" s="9">
        <v>71.3</v>
      </c>
      <c r="F134" s="9">
        <f t="shared" si="5"/>
        <v>0</v>
      </c>
      <c r="G134" s="13"/>
      <c r="H134" s="14" t="str">
        <f>HYPERLINK("https://pulti.ua/tv/pult-dlja-electron-t81100")</f>
        <v>https://pulti.ua/tv/pult-dlja-electron-t81100</v>
      </c>
    </row>
    <row r="135" spans="1:8" s="18" customFormat="1" ht="15" customHeight="1">
      <c r="A135" s="39">
        <v>4356</v>
      </c>
      <c r="B135" s="26" t="s">
        <v>125</v>
      </c>
      <c r="C135" s="13" t="s">
        <v>14</v>
      </c>
      <c r="D135" s="14"/>
      <c r="E135" s="9">
        <v>78.8</v>
      </c>
      <c r="F135" s="9">
        <f t="shared" si="5"/>
        <v>0</v>
      </c>
      <c r="G135" s="13"/>
      <c r="H135" s="14" t="str">
        <f>HYPERLINK("https://pulti.ua/tv/pult-dlya-elenberg-28ah4130")</f>
        <v>https://pulti.ua/tv/pult-dlya-elenberg-28ah4130</v>
      </c>
    </row>
    <row r="136" spans="1:8" s="18" customFormat="1" ht="15" customHeight="1">
      <c r="A136" s="39">
        <v>4388</v>
      </c>
      <c r="B136" s="26" t="s">
        <v>1325</v>
      </c>
      <c r="C136" s="13" t="s">
        <v>14</v>
      </c>
      <c r="D136" s="14"/>
      <c r="E136" s="9">
        <v>75</v>
      </c>
      <c r="F136" s="9">
        <f t="shared" si="5"/>
        <v>0</v>
      </c>
      <c r="G136" s="13"/>
      <c r="H136" s="14" t="str">
        <f>HYPERLINK("https://pulti.ua/tv/pult-dlya-elenberg-32df4330")</f>
        <v>https://pulti.ua/tv/pult-dlya-elenberg-32df4330</v>
      </c>
    </row>
    <row r="137" spans="1:8" s="18" customFormat="1" ht="15" customHeight="1">
      <c r="A137" s="11">
        <v>4321</v>
      </c>
      <c r="B137" s="12" t="s">
        <v>126</v>
      </c>
      <c r="C137" s="13" t="s">
        <v>14</v>
      </c>
      <c r="D137" s="14"/>
      <c r="E137" s="9">
        <v>75</v>
      </c>
      <c r="F137" s="9">
        <f t="shared" si="5"/>
        <v>0</v>
      </c>
      <c r="G137" s="13"/>
      <c r="H137" s="14" t="str">
        <f>HYPERLINK("https://pulti.ua/tv/pult-dlya-elenberg-32dh4330")</f>
        <v>https://pulti.ua/tv/pult-dlya-elenberg-32dh4330</v>
      </c>
    </row>
    <row r="138" spans="1:8" s="18" customFormat="1" ht="15" customHeight="1">
      <c r="A138" s="39">
        <v>4355</v>
      </c>
      <c r="B138" s="26" t="s">
        <v>1326</v>
      </c>
      <c r="C138" s="13" t="s">
        <v>14</v>
      </c>
      <c r="D138" s="14"/>
      <c r="E138" s="9">
        <v>82.5</v>
      </c>
      <c r="F138" s="9">
        <f t="shared" si="5"/>
        <v>0</v>
      </c>
      <c r="G138" s="13"/>
      <c r="H138" s="14" t="str">
        <f>HYPERLINK("https://pulti.ua/tv/pult-dlya-elenberg-32dh5330")</f>
        <v>https://pulti.ua/tv/pult-dlya-elenberg-32dh5330</v>
      </c>
    </row>
    <row r="139" spans="1:8" s="18" customFormat="1" ht="15" customHeight="1">
      <c r="A139" s="39">
        <v>4383</v>
      </c>
      <c r="B139" s="26" t="s">
        <v>127</v>
      </c>
      <c r="C139" s="13" t="s">
        <v>14</v>
      </c>
      <c r="D139" s="14"/>
      <c r="E139" s="9">
        <v>129.4</v>
      </c>
      <c r="F139" s="9">
        <f t="shared" si="5"/>
        <v>0</v>
      </c>
      <c r="G139" s="13"/>
      <c r="H139" s="14" t="str">
        <f>HYPERLINK("https://pulti.ua/tv/pult-dlya-elenberg-48df5030")</f>
        <v>https://pulti.ua/tv/pult-dlya-elenberg-48df5030</v>
      </c>
    </row>
    <row r="140" spans="1:8" s="18" customFormat="1" ht="15" customHeight="1">
      <c r="A140" s="39">
        <v>2850</v>
      </c>
      <c r="B140" s="26" t="s">
        <v>128</v>
      </c>
      <c r="C140" s="13" t="s">
        <v>11</v>
      </c>
      <c r="D140" s="14"/>
      <c r="E140" s="9">
        <v>180</v>
      </c>
      <c r="F140" s="9">
        <f t="shared" si="5"/>
        <v>0</v>
      </c>
      <c r="G140" s="13"/>
      <c r="H140" s="14" t="str">
        <f>HYPERLINK("https://pulti.ua/tv/pult-dlja-elenberg-hof-54b13")</f>
        <v>https://pulti.ua/tv/pult-dlja-elenberg-hof-54b13</v>
      </c>
    </row>
    <row r="141" spans="1:8" s="18" customFormat="1" ht="15" customHeight="1">
      <c r="A141" s="39">
        <v>2851</v>
      </c>
      <c r="B141" s="26" t="s">
        <v>129</v>
      </c>
      <c r="C141" s="13" t="s">
        <v>11</v>
      </c>
      <c r="D141" s="14"/>
      <c r="E141" s="9">
        <v>180</v>
      </c>
      <c r="F141" s="9">
        <f t="shared" si="5"/>
        <v>0</v>
      </c>
      <c r="G141" s="13"/>
      <c r="H141" s="14" t="str">
        <f>HYPERLINK("https://pulti.ua/tv/pult-dlja-elenberg-hof-54b14")</f>
        <v>https://pulti.ua/tv/pult-dlja-elenberg-hof-54b14</v>
      </c>
    </row>
    <row r="142" spans="1:8" s="18" customFormat="1" ht="15" customHeight="1">
      <c r="A142" s="39">
        <v>1283</v>
      </c>
      <c r="B142" s="26" t="s">
        <v>130</v>
      </c>
      <c r="C142" s="13" t="s">
        <v>22</v>
      </c>
      <c r="D142" s="14"/>
      <c r="E142" s="9">
        <v>105</v>
      </c>
      <c r="F142" s="9">
        <f t="shared" si="5"/>
        <v>0</v>
      </c>
      <c r="G142" s="13"/>
      <c r="H142" s="14" t="str">
        <f>HYPERLINK("https://pulti.ua/tv/pult-dlja-elenberg-kk-y271n")</f>
        <v>https://pulti.ua/tv/pult-dlja-elenberg-kk-y271n</v>
      </c>
    </row>
    <row r="143" spans="1:8" s="18" customFormat="1" ht="15" customHeight="1">
      <c r="A143" s="39">
        <v>1284</v>
      </c>
      <c r="B143" s="26" t="s">
        <v>131</v>
      </c>
      <c r="C143" s="13" t="s">
        <v>11</v>
      </c>
      <c r="D143" s="14"/>
      <c r="E143" s="9">
        <v>105</v>
      </c>
      <c r="F143" s="9">
        <f t="shared" si="5"/>
        <v>0</v>
      </c>
      <c r="G143" s="13"/>
      <c r="H143" s="14" t="str">
        <f>HYPERLINK("https://pulti.ua/tv/pult-dlja-elenberg-y27401")</f>
        <v>https://pulti.ua/tv/pult-dlja-elenberg-y27401</v>
      </c>
    </row>
    <row r="144" spans="1:8" s="18" customFormat="1" ht="15" customHeight="1">
      <c r="A144" s="39">
        <v>3066</v>
      </c>
      <c r="B144" s="26" t="s">
        <v>132</v>
      </c>
      <c r="C144" s="13" t="s">
        <v>11</v>
      </c>
      <c r="D144" s="14"/>
      <c r="E144" s="9">
        <v>78.8</v>
      </c>
      <c r="F144" s="9">
        <f t="shared" si="5"/>
        <v>0</v>
      </c>
      <c r="G144" s="13"/>
      <c r="H144" s="14" t="str">
        <f>HYPERLINK("https://pulti.ua/tv/pult-dlja-elite-tc9012-01s-n")</f>
        <v>https://pulti.ua/tv/pult-dlja-elite-tc9012-01s-n</v>
      </c>
    </row>
    <row r="145" spans="1:8" s="18" customFormat="1" ht="15" customHeight="1">
      <c r="A145" s="40">
        <v>4844</v>
      </c>
      <c r="B145" s="41" t="s">
        <v>133</v>
      </c>
      <c r="C145" s="13" t="s">
        <v>14</v>
      </c>
      <c r="D145" s="14"/>
      <c r="E145" s="9">
        <v>65.6</v>
      </c>
      <c r="F145" s="9">
        <f t="shared" si="5"/>
        <v>0</v>
      </c>
      <c r="G145" s="13"/>
      <c r="H145" s="14" t="str">
        <f>HYPERLINK("https://pulti.ua/tv/pult-dlya-ergo-32dhs6000-megogo")</f>
        <v>https://pulti.ua/tv/pult-dlya-ergo-32dhs6000-megogo</v>
      </c>
    </row>
    <row r="146" spans="1:8" s="18" customFormat="1" ht="15" customHeight="1">
      <c r="A146" s="39">
        <v>4531</v>
      </c>
      <c r="B146" s="26" t="s">
        <v>134</v>
      </c>
      <c r="C146" s="13" t="s">
        <v>14</v>
      </c>
      <c r="D146" s="14"/>
      <c r="E146" s="9">
        <v>78.8</v>
      </c>
      <c r="F146" s="9">
        <f t="shared" si="5"/>
        <v>0</v>
      </c>
      <c r="G146" s="13"/>
      <c r="H146" s="14" t="str">
        <f>HYPERLINK("https://pulti.ua/tv/pult-dlya-ergo-43cu6500ak")</f>
        <v>https://pulti.ua/tv/pult-dlya-ergo-43cu6500ak</v>
      </c>
    </row>
    <row r="147" spans="1:8" s="18" customFormat="1" ht="15" customHeight="1">
      <c r="A147" s="11">
        <v>4619</v>
      </c>
      <c r="B147" s="12" t="s">
        <v>135</v>
      </c>
      <c r="C147" s="13" t="s">
        <v>14</v>
      </c>
      <c r="D147" s="14"/>
      <c r="E147" s="9">
        <v>67.5</v>
      </c>
      <c r="F147" s="9">
        <f t="shared" si="5"/>
        <v>0</v>
      </c>
      <c r="G147" s="13"/>
      <c r="H147" s="14" t="str">
        <f>HYPERLINK("https://pulti.ua/tv/pult-dlya-ergo-55du6510")</f>
        <v>https://pulti.ua/tv/pult-dlya-ergo-55du6510</v>
      </c>
    </row>
    <row r="148" spans="1:8" s="18" customFormat="1" ht="15" customHeight="1">
      <c r="A148" s="39">
        <v>3811</v>
      </c>
      <c r="B148" s="26" t="s">
        <v>136</v>
      </c>
      <c r="C148" s="13" t="s">
        <v>14</v>
      </c>
      <c r="D148" s="14"/>
      <c r="E148" s="9">
        <v>78.8</v>
      </c>
      <c r="F148" s="9">
        <f t="shared" si="5"/>
        <v>0</v>
      </c>
      <c r="G148" s="13"/>
      <c r="H148" s="14" t="str">
        <f>HYPERLINK("https://pulti.ua/tv/pult-dlja-ergo-le17d5")</f>
        <v>https://pulti.ua/tv/pult-dlja-ergo-le17d5</v>
      </c>
    </row>
    <row r="149" spans="1:8" s="18" customFormat="1" ht="15" customHeight="1">
      <c r="A149" s="40">
        <v>4845</v>
      </c>
      <c r="B149" s="41" t="s">
        <v>1327</v>
      </c>
      <c r="C149" s="13" t="s">
        <v>14</v>
      </c>
      <c r="D149" s="14"/>
      <c r="E149" s="9">
        <v>65.6</v>
      </c>
      <c r="F149" s="9">
        <f t="shared" si="5"/>
        <v>0</v>
      </c>
      <c r="G149" s="13"/>
      <c r="H149" s="14" t="str">
        <f>HYPERLINK("https://pulti.ua/tv/pult-dlya-ergo-le32ct5520ak-megogo")</f>
        <v>https://pulti.ua/tv/pult-dlya-ergo-le32ct5520ak-megogo</v>
      </c>
    </row>
    <row r="150" spans="1:8" s="18" customFormat="1" ht="15" customHeight="1">
      <c r="A150" s="11">
        <v>1154</v>
      </c>
      <c r="B150" s="12" t="s">
        <v>137</v>
      </c>
      <c r="C150" s="13" t="s">
        <v>11</v>
      </c>
      <c r="D150" s="14"/>
      <c r="E150" s="9">
        <v>33.8</v>
      </c>
      <c r="F150" s="9">
        <f t="shared" si="5"/>
        <v>0</v>
      </c>
      <c r="G150" s="13"/>
      <c r="H150" s="14" t="str">
        <f>HYPERLINK("https://pulti.ua/tv/pult-dlja-erisson-15ls01")</f>
        <v>https://pulti.ua/tv/pult-dlja-erisson-15ls01</v>
      </c>
    </row>
    <row r="151" spans="1:8" s="18" customFormat="1" ht="15" customHeight="1">
      <c r="A151" s="39">
        <v>3957</v>
      </c>
      <c r="B151" s="26" t="s">
        <v>138</v>
      </c>
      <c r="C151" s="13" t="s">
        <v>22</v>
      </c>
      <c r="D151" s="14"/>
      <c r="E151" s="9">
        <v>101.3</v>
      </c>
      <c r="F151" s="9">
        <f t="shared" si="5"/>
        <v>0</v>
      </c>
      <c r="G151" s="13"/>
      <c r="H151" s="14" t="str">
        <f>HYPERLINK("https://pulti.ua/tv/pult-dlja-erisson-16lej02,")</f>
        <v>https://pulti.ua/tv/pult-dlja-erisson-16lej02,</v>
      </c>
    </row>
    <row r="152" spans="1:8" s="18" customFormat="1" ht="15" customHeight="1">
      <c r="A152" s="39">
        <v>3935</v>
      </c>
      <c r="B152" s="26" t="s">
        <v>139</v>
      </c>
      <c r="C152" s="13" t="s">
        <v>22</v>
      </c>
      <c r="D152" s="14"/>
      <c r="E152" s="9">
        <v>127.5</v>
      </c>
      <c r="F152" s="9">
        <f t="shared" si="5"/>
        <v>0</v>
      </c>
      <c r="G152" s="13"/>
      <c r="H152" s="14" t="str">
        <f>HYPERLINK("https://pulti.ua/tv/pult-dlja-erisson-42len52")</f>
        <v>https://pulti.ua/tv/pult-dlja-erisson-42len52</v>
      </c>
    </row>
    <row r="153" spans="1:8" s="18" customFormat="1" ht="15" customHeight="1">
      <c r="A153" s="11">
        <v>1157</v>
      </c>
      <c r="B153" s="12" t="s">
        <v>140</v>
      </c>
      <c r="C153" s="13" t="s">
        <v>11</v>
      </c>
      <c r="D153" s="14"/>
      <c r="E153" s="9">
        <v>105</v>
      </c>
      <c r="F153" s="9">
        <f t="shared" si="5"/>
        <v>0</v>
      </c>
      <c r="G153" s="13"/>
      <c r="H153" s="14" t="str">
        <f>HYPERLINK("https://pulti.ua/tv/pult-dlja-erisson-f3s520-rc-03-3004")</f>
        <v>https://pulti.ua/tv/pult-dlja-erisson-f3s520-rc-03-3004</v>
      </c>
    </row>
    <row r="154" spans="1:8" s="18" customFormat="1" ht="15" customHeight="1">
      <c r="A154" s="11">
        <v>1158</v>
      </c>
      <c r="B154" s="12" t="s">
        <v>141</v>
      </c>
      <c r="C154" s="13" t="s">
        <v>11</v>
      </c>
      <c r="D154" s="14"/>
      <c r="E154" s="9">
        <v>105</v>
      </c>
      <c r="F154" s="9">
        <f t="shared" si="5"/>
        <v>0</v>
      </c>
      <c r="G154" s="13"/>
      <c r="H154" s="14" t="str">
        <f>HYPERLINK("https://pulti.ua/tv/pult-dlja-erisson-f4s028")</f>
        <v>https://pulti.ua/tv/pult-dlja-erisson-f4s028</v>
      </c>
    </row>
    <row r="155" spans="1:8" s="18" customFormat="1" ht="15" customHeight="1">
      <c r="A155" s="11">
        <v>1161</v>
      </c>
      <c r="B155" s="12" t="s">
        <v>142</v>
      </c>
      <c r="C155" s="13" t="s">
        <v>11</v>
      </c>
      <c r="D155" s="14"/>
      <c r="E155" s="9">
        <v>63.8</v>
      </c>
      <c r="F155" s="9">
        <f t="shared" si="5"/>
        <v>0</v>
      </c>
      <c r="G155" s="13"/>
      <c r="H155" s="14" t="str">
        <f>HYPERLINK("https://pulti.ua/tv/pult-dlja-erisson-fhs085")</f>
        <v>https://pulti.ua/tv/pult-dlja-erisson-fhs085</v>
      </c>
    </row>
    <row r="156" spans="1:8" s="18" customFormat="1" ht="15" customHeight="1">
      <c r="A156" s="11">
        <v>1163</v>
      </c>
      <c r="B156" s="12" t="s">
        <v>143</v>
      </c>
      <c r="C156" s="13" t="s">
        <v>11</v>
      </c>
      <c r="D156" s="14"/>
      <c r="E156" s="9">
        <v>58.1</v>
      </c>
      <c r="F156" s="9">
        <f t="shared" si="5"/>
        <v>0</v>
      </c>
      <c r="G156" s="13"/>
      <c r="H156" s="14" t="str">
        <f>HYPERLINK("https://pulti.ua/tv/pult-dlja-erisson-fhs-08a")</f>
        <v>https://pulti.ua/tv/pult-dlja-erisson-fhs-08a</v>
      </c>
    </row>
    <row r="157" spans="1:8" s="18" customFormat="1" ht="15" customHeight="1">
      <c r="A157" s="11">
        <v>1165</v>
      </c>
      <c r="B157" s="12" t="s">
        <v>144</v>
      </c>
      <c r="C157" s="13" t="s">
        <v>11</v>
      </c>
      <c r="D157" s="14"/>
      <c r="E157" s="9">
        <v>56.3</v>
      </c>
      <c r="F157" s="9">
        <f t="shared" si="5"/>
        <v>0</v>
      </c>
      <c r="G157" s="13"/>
      <c r="H157" s="14" t="str">
        <f>HYPERLINK("https://pulti.ua/tv/pult-dlja-erisson-hof08b")</f>
        <v>https://pulti.ua/tv/pult-dlja-erisson-hof08b</v>
      </c>
    </row>
    <row r="158" spans="1:8" s="18" customFormat="1" ht="15" customHeight="1">
      <c r="A158" s="11">
        <v>1168</v>
      </c>
      <c r="B158" s="12" t="s">
        <v>145</v>
      </c>
      <c r="C158" s="13" t="s">
        <v>11</v>
      </c>
      <c r="D158" s="14"/>
      <c r="E158" s="9">
        <v>108.8</v>
      </c>
      <c r="F158" s="9">
        <f t="shared" si="5"/>
        <v>0</v>
      </c>
      <c r="G158" s="13"/>
      <c r="H158" s="14" t="str">
        <f>HYPERLINK("https://pulti.ua/tv/pult-dlja-erisson-ly-3700")</f>
        <v>https://pulti.ua/tv/pult-dlja-erisson-ly-3700</v>
      </c>
    </row>
    <row r="159" spans="1:8" s="18" customFormat="1" ht="15" customHeight="1">
      <c r="A159" s="11">
        <v>1169</v>
      </c>
      <c r="B159" s="12" t="s">
        <v>1328</v>
      </c>
      <c r="C159" s="13" t="s">
        <v>11</v>
      </c>
      <c r="D159" s="14"/>
      <c r="E159" s="9">
        <v>101.3</v>
      </c>
      <c r="F159" s="9">
        <f t="shared" si="5"/>
        <v>0</v>
      </c>
      <c r="G159" s="13"/>
      <c r="H159" s="14" t="str">
        <f>HYPERLINK("https://pulti.ua/tv/pult-dlja-erisson-ly-3743")</f>
        <v>https://pulti.ua/tv/pult-dlja-erisson-ly-3743</v>
      </c>
    </row>
    <row r="160" spans="1:8" s="18" customFormat="1" ht="15" customHeight="1">
      <c r="A160" s="39">
        <v>4389</v>
      </c>
      <c r="B160" s="26" t="s">
        <v>146</v>
      </c>
      <c r="C160" s="13" t="s">
        <v>14</v>
      </c>
      <c r="D160" s="14"/>
      <c r="E160" s="9">
        <v>99.4</v>
      </c>
      <c r="F160" s="9">
        <f t="shared" si="5"/>
        <v>0</v>
      </c>
      <c r="G160" s="13"/>
      <c r="H160" s="14" t="str">
        <f>HYPERLINK("https://pulti.ua/tv/pult-dlya-erisson-rc200-timeshift")</f>
        <v>https://pulti.ua/tv/pult-dlya-erisson-rc200-timeshift</v>
      </c>
    </row>
    <row r="161" spans="1:8" s="18" customFormat="1" ht="15" customHeight="1">
      <c r="A161" s="11">
        <v>1170</v>
      </c>
      <c r="B161" s="12" t="s">
        <v>147</v>
      </c>
      <c r="C161" s="13" t="s">
        <v>11</v>
      </c>
      <c r="D161" s="14"/>
      <c r="E161" s="9">
        <v>60</v>
      </c>
      <c r="F161" s="9">
        <f t="shared" si="5"/>
        <v>0</v>
      </c>
      <c r="G161" s="13"/>
      <c r="H161" s="14" t="str">
        <f>HYPERLINK("https://pulti.ua/tv/pult-dlja-erisson-rc-5w63")</f>
        <v>https://pulti.ua/tv/pult-dlja-erisson-rc-5w63</v>
      </c>
    </row>
    <row r="162" spans="1:8" s="18" customFormat="1" ht="15" customHeight="1">
      <c r="A162" s="11">
        <v>1171</v>
      </c>
      <c r="B162" s="12" t="s">
        <v>148</v>
      </c>
      <c r="C162" s="13" t="s">
        <v>11</v>
      </c>
      <c r="D162" s="14"/>
      <c r="E162" s="9">
        <v>41.3</v>
      </c>
      <c r="F162" s="9">
        <f t="shared" si="5"/>
        <v>0</v>
      </c>
      <c r="G162" s="13"/>
      <c r="H162" s="14" t="str">
        <f>HYPERLINK("https://pulti.ua/tv/pult-dlja-erisson-ws-237")</f>
        <v>https://pulti.ua/tv/pult-dlja-erisson-ws-237</v>
      </c>
    </row>
    <row r="163" spans="1:8" s="18" customFormat="1" ht="15" customHeight="1">
      <c r="A163" s="11">
        <v>4860</v>
      </c>
      <c r="B163" s="12" t="s">
        <v>1329</v>
      </c>
      <c r="C163" s="13" t="s">
        <v>14</v>
      </c>
      <c r="D163" s="14"/>
      <c r="E163" s="9">
        <v>82.5</v>
      </c>
      <c r="F163" s="9">
        <f t="shared" si="5"/>
        <v>0</v>
      </c>
      <c r="G163" s="13"/>
      <c r="H163" s="14" t="str">
        <f>HYPERLINK("https://pulti.ua/tv/pult-dlya-eurosky-e32lhrt2c")</f>
        <v>https://pulti.ua/tv/pult-dlya-eurosky-e32lhrt2c</v>
      </c>
    </row>
    <row r="164" spans="1:8" s="18" customFormat="1" ht="15" customHeight="1">
      <c r="A164" s="11">
        <v>4311</v>
      </c>
      <c r="B164" s="12" t="s">
        <v>149</v>
      </c>
      <c r="C164" s="13" t="s">
        <v>14</v>
      </c>
      <c r="D164" s="14"/>
      <c r="E164" s="9">
        <v>63.8</v>
      </c>
      <c r="F164" s="9">
        <f t="shared" si="5"/>
        <v>0</v>
      </c>
      <c r="G164" s="13"/>
      <c r="H164" s="14" t="str">
        <f>HYPERLINK("https://pulti.ua/tv/pult-dlya-finlux-32flhyr274s")</f>
        <v>https://pulti.ua/tv/pult-dlya-finlux-32flhyr274s</v>
      </c>
    </row>
    <row r="165" spans="1:8" s="18" customFormat="1" ht="15" customHeight="1">
      <c r="A165" s="11">
        <v>1180</v>
      </c>
      <c r="B165" s="12" t="s">
        <v>150</v>
      </c>
      <c r="C165" s="13" t="s">
        <v>11</v>
      </c>
      <c r="D165" s="14"/>
      <c r="E165" s="9">
        <v>56.3</v>
      </c>
      <c r="F165" s="9">
        <f t="shared" si="5"/>
        <v>0</v>
      </c>
      <c r="G165" s="13"/>
      <c r="H165" s="14" t="str">
        <f>HYPERLINK("https://pulti.ua/tv/pult-dlja-funai-mk-10-with-txt")</f>
        <v>https://pulti.ua/tv/pult-dlja-funai-mk-10-with-txt</v>
      </c>
    </row>
    <row r="166" spans="1:8" s="18" customFormat="1" ht="15" customHeight="1">
      <c r="A166" s="11">
        <v>1182</v>
      </c>
      <c r="B166" s="12" t="s">
        <v>151</v>
      </c>
      <c r="C166" s="13" t="s">
        <v>11</v>
      </c>
      <c r="D166" s="14"/>
      <c r="E166" s="9">
        <v>52.5</v>
      </c>
      <c r="F166" s="9">
        <f t="shared" si="5"/>
        <v>0</v>
      </c>
      <c r="G166" s="13"/>
      <c r="H166" s="14" t="str">
        <f>HYPERLINK("https://pulti.ua/tv/pult-dlja-funai-mk-11")</f>
        <v>https://pulti.ua/tv/pult-dlja-funai-mk-11</v>
      </c>
    </row>
    <row r="167" spans="1:8" s="18" customFormat="1" ht="15" customHeight="1">
      <c r="A167" s="11">
        <v>1183</v>
      </c>
      <c r="B167" s="12" t="s">
        <v>152</v>
      </c>
      <c r="C167" s="13" t="s">
        <v>11</v>
      </c>
      <c r="D167" s="14"/>
      <c r="E167" s="9">
        <v>52.5</v>
      </c>
      <c r="F167" s="9">
        <f t="shared" si="5"/>
        <v>0</v>
      </c>
      <c r="G167" s="13"/>
      <c r="H167" s="14" t="str">
        <f>HYPERLINK("https://pulti.ua/tv/pult-dlja-funai-mk-12")</f>
        <v>https://pulti.ua/tv/pult-dlja-funai-mk-12</v>
      </c>
    </row>
    <row r="168" spans="1:8" s="18" customFormat="1" ht="15" customHeight="1">
      <c r="A168" s="11">
        <v>1174</v>
      </c>
      <c r="B168" s="12" t="s">
        <v>153</v>
      </c>
      <c r="C168" s="13" t="s">
        <v>11</v>
      </c>
      <c r="D168" s="14"/>
      <c r="E168" s="9">
        <v>58.1</v>
      </c>
      <c r="F168" s="9">
        <f t="shared" si="5"/>
        <v>0</v>
      </c>
      <c r="G168" s="13"/>
      <c r="H168" s="14" t="str">
        <f>HYPERLINK("https://pulti.ua/tv/pult-dlja-funai-mk-2-mk-ii")</f>
        <v>https://pulti.ua/tv/pult-dlja-funai-mk-2-mk-ii</v>
      </c>
    </row>
    <row r="169" spans="1:8" s="18" customFormat="1" ht="15" customHeight="1">
      <c r="A169" s="11">
        <v>1175</v>
      </c>
      <c r="B169" s="12" t="s">
        <v>154</v>
      </c>
      <c r="C169" s="13" t="s">
        <v>11</v>
      </c>
      <c r="D169" s="14"/>
      <c r="E169" s="9">
        <v>46.9</v>
      </c>
      <c r="F169" s="9">
        <f t="shared" si="5"/>
        <v>0</v>
      </c>
      <c r="G169" s="13"/>
      <c r="H169" s="14" t="str">
        <f>HYPERLINK("https://pulti.ua/tv/pult-dlja-funai-mk-78")</f>
        <v>https://pulti.ua/tv/pult-dlja-funai-mk-78</v>
      </c>
    </row>
    <row r="170" spans="1:8" s="18" customFormat="1" ht="15" customHeight="1">
      <c r="A170" s="11">
        <v>1178</v>
      </c>
      <c r="B170" s="12" t="s">
        <v>155</v>
      </c>
      <c r="C170" s="13" t="s">
        <v>11</v>
      </c>
      <c r="D170" s="14"/>
      <c r="E170" s="9">
        <v>56.3</v>
      </c>
      <c r="F170" s="9">
        <f t="shared" si="5"/>
        <v>0</v>
      </c>
      <c r="G170" s="13"/>
      <c r="H170" s="14" t="str">
        <f>HYPERLINK("https://pulti.ua/tv/pult-dlja-funai-mk-78-with-vcr")</f>
        <v>https://pulti.ua/tv/pult-dlja-funai-mk-78-with-vcr</v>
      </c>
    </row>
    <row r="171" spans="1:8" s="18" customFormat="1" ht="15" customHeight="1">
      <c r="A171" s="39">
        <v>4390</v>
      </c>
      <c r="B171" s="26" t="s">
        <v>156</v>
      </c>
      <c r="C171" s="13" t="s">
        <v>14</v>
      </c>
      <c r="D171" s="14"/>
      <c r="E171" s="9">
        <v>106.9</v>
      </c>
      <c r="F171" s="9">
        <f t="shared" si="5"/>
        <v>0</v>
      </c>
      <c r="G171" s="13"/>
      <c r="H171" s="14" t="str">
        <f>HYPERLINK("https://pulti.ua/tv/pult-dlya-fusion-fltv-16h100")</f>
        <v>https://pulti.ua/tv/pult-dlya-fusion-fltv-16h100</v>
      </c>
    </row>
    <row r="172" spans="1:8" s="18" customFormat="1" ht="15" customHeight="1">
      <c r="A172" s="39">
        <v>4023</v>
      </c>
      <c r="B172" s="26" t="s">
        <v>1330</v>
      </c>
      <c r="C172" s="13" t="s">
        <v>14</v>
      </c>
      <c r="D172" s="14"/>
      <c r="E172" s="9">
        <v>150</v>
      </c>
      <c r="F172" s="9">
        <f t="shared" si="5"/>
        <v>0</v>
      </c>
      <c r="G172" s="13"/>
      <c r="H172" s="14" t="str">
        <f>HYPERLINK("https://pulti.ua/tv/pult-dlja-fusion-hy-079")</f>
        <v>https://pulti.ua/tv/pult-dlja-fusion-hy-079</v>
      </c>
    </row>
    <row r="173" spans="1:8" s="18" customFormat="1" ht="15" customHeight="1">
      <c r="A173" s="39">
        <v>3851</v>
      </c>
      <c r="B173" s="26" t="s">
        <v>157</v>
      </c>
      <c r="C173" s="13" t="s">
        <v>14</v>
      </c>
      <c r="D173" s="14"/>
      <c r="E173" s="9">
        <v>116.3</v>
      </c>
      <c r="F173" s="9">
        <f t="shared" si="5"/>
        <v>0</v>
      </c>
      <c r="G173" s="13"/>
      <c r="H173" s="14" t="str">
        <f>HYPERLINK("https://pulti.ua/tv/pult-dlja-fusion-ltv-32l40b")</f>
        <v>https://pulti.ua/tv/pult-dlja-fusion-ltv-32l40b</v>
      </c>
    </row>
    <row r="174" spans="1:8" s="18" customFormat="1" ht="15" customHeight="1">
      <c r="A174" s="11">
        <v>1186</v>
      </c>
      <c r="B174" s="12" t="s">
        <v>158</v>
      </c>
      <c r="C174" s="13" t="s">
        <v>11</v>
      </c>
      <c r="D174" s="14"/>
      <c r="E174" s="9">
        <v>120</v>
      </c>
      <c r="F174" s="9">
        <f t="shared" si="5"/>
        <v>0</v>
      </c>
      <c r="G174" s="13"/>
      <c r="H174" s="14" t="str">
        <f>HYPERLINK("https://pulti.ua/tv/pult-dlja-goldstar-105-198c")</f>
        <v>https://pulti.ua/tv/pult-dlja-goldstar-105-198c</v>
      </c>
    </row>
    <row r="175" spans="1:8" s="18" customFormat="1" ht="15" customHeight="1">
      <c r="A175" s="39">
        <v>2723</v>
      </c>
      <c r="B175" s="26" t="s">
        <v>159</v>
      </c>
      <c r="C175" s="13" t="s">
        <v>11</v>
      </c>
      <c r="D175" s="14"/>
      <c r="E175" s="9">
        <v>58.1</v>
      </c>
      <c r="F175" s="9">
        <f t="shared" si="5"/>
        <v>0</v>
      </c>
      <c r="G175" s="13"/>
      <c r="H175" s="14" t="str">
        <f>HYPERLINK("https://pulti.ua/tv/pult-dlja-goldstar-105-230a-ic")</f>
        <v>https://pulti.ua/tv/pult-dlja-goldstar-105-230a-ic</v>
      </c>
    </row>
    <row r="176" spans="1:8" s="18" customFormat="1" ht="15" customHeight="1">
      <c r="A176" s="11">
        <v>1196</v>
      </c>
      <c r="B176" s="12" t="s">
        <v>160</v>
      </c>
      <c r="C176" s="13" t="s">
        <v>11</v>
      </c>
      <c r="D176" s="14"/>
      <c r="E176" s="9">
        <v>71.3</v>
      </c>
      <c r="F176" s="9">
        <f t="shared" si="5"/>
        <v>0</v>
      </c>
      <c r="G176" s="13"/>
      <c r="H176" s="14" t="str">
        <f>HYPERLINK("https://pulti.ua/tv/pult-dlja-goldstar-vs-068a")</f>
        <v>https://pulti.ua/tv/pult-dlja-goldstar-vs-068a</v>
      </c>
    </row>
    <row r="177" spans="1:8" s="18" customFormat="1" ht="15" customHeight="1">
      <c r="A177" s="11">
        <v>2649</v>
      </c>
      <c r="B177" s="12" t="s">
        <v>161</v>
      </c>
      <c r="C177" s="13" t="s">
        <v>11</v>
      </c>
      <c r="D177" s="14"/>
      <c r="E177" s="9">
        <v>67.5</v>
      </c>
      <c r="F177" s="9">
        <f t="shared" si="5"/>
        <v>0</v>
      </c>
      <c r="G177" s="13"/>
      <c r="H177" s="14" t="str">
        <f>HYPERLINK("https://pulti.ua/tv/pult-dlja-grol-1403")</f>
        <v>https://pulti.ua/tv/pult-dlja-grol-1403</v>
      </c>
    </row>
    <row r="178" spans="1:8" s="18" customFormat="1" ht="15" customHeight="1">
      <c r="A178" s="11">
        <v>2650</v>
      </c>
      <c r="B178" s="12" t="s">
        <v>162</v>
      </c>
      <c r="C178" s="13" t="s">
        <v>11</v>
      </c>
      <c r="D178" s="14"/>
      <c r="E178" s="9">
        <v>67.5</v>
      </c>
      <c r="F178" s="9">
        <f t="shared" si="5"/>
        <v>0</v>
      </c>
      <c r="G178" s="13"/>
      <c r="H178" s="14" t="str">
        <f>HYPERLINK("https://pulti.ua/tv/pult-dlja-grol-gr-21ft")</f>
        <v>https://pulti.ua/tv/pult-dlja-grol-gr-21ft</v>
      </c>
    </row>
    <row r="179" spans="1:8" s="18" customFormat="1" ht="15" customHeight="1">
      <c r="A179" s="39">
        <v>2652</v>
      </c>
      <c r="B179" s="26" t="s">
        <v>163</v>
      </c>
      <c r="C179" s="13" t="s">
        <v>11</v>
      </c>
      <c r="D179" s="14"/>
      <c r="E179" s="9">
        <v>61.9</v>
      </c>
      <c r="F179" s="9">
        <f t="shared" si="5"/>
        <v>0</v>
      </c>
      <c r="G179" s="13"/>
      <c r="H179" s="14" t="str">
        <f>HYPERLINK("https://pulti.ua/tv/pult-dlja-grol-rs09-m301-ic")</f>
        <v>https://pulti.ua/tv/pult-dlja-grol-rs09-m301-ic</v>
      </c>
    </row>
    <row r="180" spans="1:8" s="18" customFormat="1" ht="15" customHeight="1">
      <c r="A180" s="39">
        <v>2653</v>
      </c>
      <c r="B180" s="26" t="s">
        <v>164</v>
      </c>
      <c r="C180" s="13" t="s">
        <v>11</v>
      </c>
      <c r="D180" s="14"/>
      <c r="E180" s="9">
        <v>63.8</v>
      </c>
      <c r="F180" s="9">
        <f t="shared" si="5"/>
        <v>0</v>
      </c>
      <c r="G180" s="13"/>
      <c r="H180" s="14" t="str">
        <f>HYPERLINK("https://pulti.ua/tv/pult-dlja-grol-rs09-m351-ic")</f>
        <v>https://pulti.ua/tv/pult-dlja-grol-rs09-m351-ic</v>
      </c>
    </row>
    <row r="181" spans="1:8" s="18" customFormat="1" ht="15" customHeight="1">
      <c r="A181" s="39">
        <v>3629</v>
      </c>
      <c r="B181" s="26" t="s">
        <v>165</v>
      </c>
      <c r="C181" s="13" t="s">
        <v>11</v>
      </c>
      <c r="D181" s="14"/>
      <c r="E181" s="9">
        <v>71.3</v>
      </c>
      <c r="F181" s="9">
        <f t="shared" si="5"/>
        <v>0</v>
      </c>
      <c r="G181" s="13"/>
      <c r="H181" s="14" t="str">
        <f>HYPERLINK("https://pulti.ua/tv/pult-dlja-grol-rs09-m33-ic")</f>
        <v>https://pulti.ua/tv/pult-dlja-grol-rs09-m33-ic</v>
      </c>
    </row>
    <row r="182" spans="1:8" s="18" customFormat="1" ht="15" customHeight="1">
      <c r="A182" s="11">
        <v>4258</v>
      </c>
      <c r="B182" s="12" t="s">
        <v>166</v>
      </c>
      <c r="C182" s="13" t="s">
        <v>14</v>
      </c>
      <c r="D182" s="14"/>
      <c r="E182" s="9">
        <v>71.3</v>
      </c>
      <c r="F182" s="9">
        <f t="shared" si="5"/>
        <v>0</v>
      </c>
      <c r="G182" s="13"/>
      <c r="H182" s="14" t="str">
        <f>HYPERLINK("https://pulti.ua/tv/pult-dlya-grundig-rc3214803-tp6187r-p1")</f>
        <v>https://pulti.ua/tv/pult-dlya-grundig-rc3214803-tp6187r-p1</v>
      </c>
    </row>
    <row r="183" spans="1:8" s="18" customFormat="1" ht="15" customHeight="1">
      <c r="A183" s="11">
        <v>1198</v>
      </c>
      <c r="B183" s="12" t="s">
        <v>167</v>
      </c>
      <c r="C183" s="13" t="s">
        <v>11</v>
      </c>
      <c r="D183" s="14"/>
      <c r="E183" s="9">
        <v>97.5</v>
      </c>
      <c r="F183" s="9">
        <f t="shared" si="5"/>
        <v>0</v>
      </c>
      <c r="G183" s="13"/>
      <c r="H183" s="14" t="str">
        <f>HYPERLINK("https://pulti.ua/tv/pult-dlja-grundig-tp621")</f>
        <v>https://pulti.ua/tv/pult-dlja-grundig-tp621</v>
      </c>
    </row>
    <row r="184" spans="1:8" s="18" customFormat="1" ht="15" customHeight="1">
      <c r="A184" s="11">
        <v>1200</v>
      </c>
      <c r="B184" s="12" t="s">
        <v>168</v>
      </c>
      <c r="C184" s="13" t="s">
        <v>11</v>
      </c>
      <c r="D184" s="14"/>
      <c r="E184" s="9">
        <v>75</v>
      </c>
      <c r="F184" s="9">
        <f t="shared" si="5"/>
        <v>0</v>
      </c>
      <c r="G184" s="13"/>
      <c r="H184" s="14" t="str">
        <f>HYPERLINK("https://pulti.ua/tv/pult-dlja-grundig-tp623")</f>
        <v>https://pulti.ua/tv/pult-dlja-grundig-tp623</v>
      </c>
    </row>
    <row r="185" spans="1:8" s="18" customFormat="1" ht="15" customHeight="1">
      <c r="A185" s="11">
        <v>1201</v>
      </c>
      <c r="B185" s="12" t="s">
        <v>169</v>
      </c>
      <c r="C185" s="13" t="s">
        <v>11</v>
      </c>
      <c r="D185" s="14"/>
      <c r="E185" s="9">
        <v>93.8</v>
      </c>
      <c r="F185" s="9">
        <f t="shared" si="5"/>
        <v>0</v>
      </c>
      <c r="G185" s="13"/>
      <c r="H185" s="14" t="str">
        <f>HYPERLINK("https://pulti.ua/tv/pult-dlja-grundig-tp660")</f>
        <v>https://pulti.ua/tv/pult-dlja-grundig-tp660</v>
      </c>
    </row>
    <row r="186" spans="1:8" s="18" customFormat="1" ht="15" customHeight="1">
      <c r="A186" s="11">
        <v>1203</v>
      </c>
      <c r="B186" s="12" t="s">
        <v>170</v>
      </c>
      <c r="C186" s="13" t="s">
        <v>11</v>
      </c>
      <c r="D186" s="14"/>
      <c r="E186" s="9">
        <v>93.8</v>
      </c>
      <c r="F186" s="9">
        <f aca="true" t="shared" si="6" ref="F186:F199">D186*E186</f>
        <v>0</v>
      </c>
      <c r="G186" s="13"/>
      <c r="H186" s="14" t="str">
        <f>HYPERLINK("https://pulti.ua/tv/pult-dlja-grundig-tp663")</f>
        <v>https://pulti.ua/tv/pult-dlja-grundig-tp663</v>
      </c>
    </row>
    <row r="187" spans="1:8" s="18" customFormat="1" ht="15" customHeight="1">
      <c r="A187" s="11">
        <v>1204</v>
      </c>
      <c r="B187" s="12" t="s">
        <v>171</v>
      </c>
      <c r="C187" s="13" t="s">
        <v>11</v>
      </c>
      <c r="D187" s="14"/>
      <c r="E187" s="9">
        <v>60</v>
      </c>
      <c r="F187" s="9">
        <f t="shared" si="6"/>
        <v>0</v>
      </c>
      <c r="G187" s="13"/>
      <c r="H187" s="14" t="str">
        <f>HYPERLINK("https://pulti.ua/tv/pult-dlja-grundig-tp711")</f>
        <v>https://pulti.ua/tv/pult-dlja-grundig-tp711</v>
      </c>
    </row>
    <row r="188" spans="1:8" s="18" customFormat="1" ht="15" customHeight="1">
      <c r="A188" s="39">
        <v>3413</v>
      </c>
      <c r="B188" s="26" t="s">
        <v>172</v>
      </c>
      <c r="C188" s="13" t="s">
        <v>11</v>
      </c>
      <c r="D188" s="14"/>
      <c r="E188" s="9">
        <v>63.8</v>
      </c>
      <c r="F188" s="9">
        <f t="shared" si="6"/>
        <v>0</v>
      </c>
      <c r="G188" s="13"/>
      <c r="H188" s="14" t="str">
        <f>HYPERLINK("https://pulti.ua/tv/pult-dlja-grundig-tp711-ic")</f>
        <v>https://pulti.ua/tv/pult-dlja-grundig-tp711-ic</v>
      </c>
    </row>
    <row r="189" spans="1:8" s="18" customFormat="1" ht="15" customHeight="1">
      <c r="A189" s="11">
        <v>1206</v>
      </c>
      <c r="B189" s="12" t="s">
        <v>173</v>
      </c>
      <c r="C189" s="13" t="s">
        <v>11</v>
      </c>
      <c r="D189" s="14"/>
      <c r="E189" s="9">
        <v>60</v>
      </c>
      <c r="F189" s="9">
        <f t="shared" si="6"/>
        <v>0</v>
      </c>
      <c r="G189" s="13"/>
      <c r="H189" s="14" t="str">
        <f>HYPERLINK("https://pulti.ua/tv/pult-dlja-grundig-tp720")</f>
        <v>https://pulti.ua/tv/pult-dlja-grundig-tp720</v>
      </c>
    </row>
    <row r="190" spans="1:8" s="18" customFormat="1" ht="15" customHeight="1">
      <c r="A190" s="11">
        <v>1207</v>
      </c>
      <c r="B190" s="12" t="s">
        <v>174</v>
      </c>
      <c r="C190" s="13" t="s">
        <v>11</v>
      </c>
      <c r="D190" s="14"/>
      <c r="E190" s="9">
        <v>58.1</v>
      </c>
      <c r="F190" s="9">
        <f t="shared" si="6"/>
        <v>0</v>
      </c>
      <c r="G190" s="13"/>
      <c r="H190" s="14" t="str">
        <f>HYPERLINK("https://pulti.ua/tv/pult-dlja-grundig-tp725")</f>
        <v>https://pulti.ua/tv/pult-dlja-grundig-tp725</v>
      </c>
    </row>
    <row r="191" spans="1:8" s="18" customFormat="1" ht="15" customHeight="1">
      <c r="A191" s="11">
        <v>1208</v>
      </c>
      <c r="B191" s="12" t="s">
        <v>175</v>
      </c>
      <c r="C191" s="13" t="s">
        <v>11</v>
      </c>
      <c r="D191" s="14"/>
      <c r="E191" s="9">
        <v>71.3</v>
      </c>
      <c r="F191" s="9">
        <f t="shared" si="6"/>
        <v>0</v>
      </c>
      <c r="G191" s="13"/>
      <c r="H191" s="14" t="str">
        <f>HYPERLINK("https://pulti.ua/tv/pult-dlja-grundig-tp741")</f>
        <v>https://pulti.ua/tv/pult-dlja-grundig-tp741</v>
      </c>
    </row>
    <row r="192" spans="1:8" s="18" customFormat="1" ht="15" customHeight="1">
      <c r="A192" s="11">
        <v>1211</v>
      </c>
      <c r="B192" s="12" t="s">
        <v>176</v>
      </c>
      <c r="C192" s="13" t="s">
        <v>11</v>
      </c>
      <c r="D192" s="14"/>
      <c r="E192" s="9">
        <v>52.5</v>
      </c>
      <c r="F192" s="9">
        <f t="shared" si="6"/>
        <v>0</v>
      </c>
      <c r="G192" s="13"/>
      <c r="H192" s="14" t="str">
        <f>HYPERLINK("https://pulti.ua/tv/pult-dlja-grundig-tp760")</f>
        <v>https://pulti.ua/tv/pult-dlja-grundig-tp760</v>
      </c>
    </row>
    <row r="193" spans="1:8" s="18" customFormat="1" ht="15" customHeight="1">
      <c r="A193" s="39">
        <v>3744</v>
      </c>
      <c r="B193" s="26" t="s">
        <v>177</v>
      </c>
      <c r="C193" s="13" t="s">
        <v>11</v>
      </c>
      <c r="D193" s="14"/>
      <c r="E193" s="9">
        <v>56.3</v>
      </c>
      <c r="F193" s="9">
        <f t="shared" si="6"/>
        <v>0</v>
      </c>
      <c r="G193" s="13"/>
      <c r="H193" s="14" t="str">
        <f>HYPERLINK("https://pulti.ua/tv/pult-dlja-grundig-tp760-ic")</f>
        <v>https://pulti.ua/tv/pult-dlja-grundig-tp760-ic</v>
      </c>
    </row>
    <row r="194" spans="1:8" s="18" customFormat="1" ht="15" customHeight="1">
      <c r="A194" s="39">
        <v>1212</v>
      </c>
      <c r="B194" s="26" t="s">
        <v>178</v>
      </c>
      <c r="C194" s="13" t="s">
        <v>11</v>
      </c>
      <c r="D194" s="14"/>
      <c r="E194" s="9">
        <v>153.8</v>
      </c>
      <c r="F194" s="9">
        <f t="shared" si="6"/>
        <v>0</v>
      </c>
      <c r="G194" s="13"/>
      <c r="H194" s="14" t="str">
        <f>HYPERLINK("https://pulti.ua/tv/pult-dlja-grundig-tp800")</f>
        <v>https://pulti.ua/tv/pult-dlja-grundig-tp800</v>
      </c>
    </row>
    <row r="195" spans="1:8" s="18" customFormat="1" ht="15" customHeight="1">
      <c r="A195" s="39">
        <v>3414</v>
      </c>
      <c r="B195" s="26" t="s">
        <v>179</v>
      </c>
      <c r="C195" s="13" t="s">
        <v>11</v>
      </c>
      <c r="D195" s="14"/>
      <c r="E195" s="9">
        <v>60</v>
      </c>
      <c r="F195" s="9">
        <f t="shared" si="6"/>
        <v>0</v>
      </c>
      <c r="G195" s="13"/>
      <c r="H195" s="14" t="str">
        <f>HYPERLINK("https://pulti.ua/tv/pult-dlja-haier-htr-022-ic")</f>
        <v>https://pulti.ua/tv/pult-dlja-haier-htr-022-ic</v>
      </c>
    </row>
    <row r="196" spans="1:8" s="18" customFormat="1" ht="15" customHeight="1">
      <c r="A196" s="39">
        <v>2658</v>
      </c>
      <c r="B196" s="26" t="s">
        <v>180</v>
      </c>
      <c r="C196" s="13" t="s">
        <v>11</v>
      </c>
      <c r="D196" s="14"/>
      <c r="E196" s="9">
        <v>60</v>
      </c>
      <c r="F196" s="9">
        <f t="shared" si="6"/>
        <v>0</v>
      </c>
      <c r="G196" s="13"/>
      <c r="H196" s="14" t="str">
        <f>HYPERLINK("https://pulti.ua/tv/pult-dlja-haier-htr-040-ic")</f>
        <v>https://pulti.ua/tv/pult-dlja-haier-htr-040-ic</v>
      </c>
    </row>
    <row r="197" spans="1:8" s="18" customFormat="1" ht="15" customHeight="1">
      <c r="A197" s="39">
        <v>4357</v>
      </c>
      <c r="B197" s="26" t="s">
        <v>181</v>
      </c>
      <c r="C197" s="13" t="s">
        <v>14</v>
      </c>
      <c r="D197" s="14"/>
      <c r="E197" s="9">
        <v>75</v>
      </c>
      <c r="F197" s="9">
        <f t="shared" si="6"/>
        <v>0</v>
      </c>
      <c r="G197" s="13"/>
      <c r="H197" s="14" t="str">
        <f>HYPERLINK("https://pulti.ua/tv/pult-dlya-harper-42f660t")</f>
        <v>https://pulti.ua/tv/pult-dlya-harper-42f660t</v>
      </c>
    </row>
    <row r="198" spans="1:8" s="18" customFormat="1" ht="15" customHeight="1">
      <c r="A198" s="11">
        <v>4597</v>
      </c>
      <c r="B198" s="12" t="s">
        <v>182</v>
      </c>
      <c r="C198" s="13" t="s">
        <v>14</v>
      </c>
      <c r="D198" s="14"/>
      <c r="E198" s="9">
        <v>183.8</v>
      </c>
      <c r="F198" s="9">
        <f t="shared" si="6"/>
        <v>0</v>
      </c>
      <c r="G198" s="13"/>
      <c r="H198" s="14" t="str">
        <f>HYPERLINK("https://pulti.ua/tv/originalnyj-pult-hisense-en2bb27hb")</f>
        <v>https://pulti.ua/tv/originalnyj-pult-hisense-en2bb27hb</v>
      </c>
    </row>
    <row r="199" spans="1:8" s="18" customFormat="1" ht="15" customHeight="1">
      <c r="A199" s="39">
        <v>4756</v>
      </c>
      <c r="B199" s="26" t="s">
        <v>183</v>
      </c>
      <c r="C199" s="13" t="s">
        <v>14</v>
      </c>
      <c r="D199" s="14"/>
      <c r="E199" s="9">
        <v>88.1</v>
      </c>
      <c r="F199" s="9">
        <f t="shared" si="6"/>
        <v>0</v>
      </c>
      <c r="G199" s="13"/>
      <c r="H199" s="14" t="str">
        <f>HYPERLINK("https://pulti.ua/tv/pult-dlya-hisense-en2g30h")</f>
        <v>https://pulti.ua/tv/pult-dlya-hisense-en2g30h</v>
      </c>
    </row>
    <row r="200" spans="1:8" s="18" customFormat="1" ht="15" customHeight="1">
      <c r="A200" s="39">
        <v>2511</v>
      </c>
      <c r="B200" s="26" t="s">
        <v>1331</v>
      </c>
      <c r="C200" s="13" t="s">
        <v>14</v>
      </c>
      <c r="D200" s="15" t="s">
        <v>1314</v>
      </c>
      <c r="E200" s="9">
        <v>78.8</v>
      </c>
      <c r="F200" s="9"/>
      <c r="G200" s="13"/>
      <c r="H200" s="14" t="str">
        <f>HYPERLINK("https://pulti.ua/tv/pult-dlya-hisense-en2x27hs")</f>
        <v>https://pulti.ua/tv/pult-dlya-hisense-en2x27hs</v>
      </c>
    </row>
    <row r="201" spans="1:8" s="18" customFormat="1" ht="15" customHeight="1">
      <c r="A201" s="39">
        <v>4807</v>
      </c>
      <c r="B201" s="26" t="s">
        <v>184</v>
      </c>
      <c r="C201" s="13" t="s">
        <v>14</v>
      </c>
      <c r="D201" s="14"/>
      <c r="E201" s="9">
        <v>206.3</v>
      </c>
      <c r="F201" s="9">
        <f aca="true" t="shared" si="7" ref="F201:F264">D201*E201</f>
        <v>0</v>
      </c>
      <c r="G201" s="13"/>
      <c r="H201" s="14" t="str">
        <f>HYPERLINK("https://pulti.ua/tv/pult-dlya-hisense-en3y39h")</f>
        <v>https://pulti.ua/tv/pult-dlya-hisense-en3y39h</v>
      </c>
    </row>
    <row r="202" spans="1:8" s="18" customFormat="1" ht="15" customHeight="1">
      <c r="A202" s="11">
        <v>1215</v>
      </c>
      <c r="B202" s="12" t="s">
        <v>185</v>
      </c>
      <c r="C202" s="13" t="s">
        <v>11</v>
      </c>
      <c r="D202" s="14"/>
      <c r="E202" s="9">
        <v>54.4</v>
      </c>
      <c r="F202" s="9">
        <f t="shared" si="7"/>
        <v>0</v>
      </c>
      <c r="G202" s="13"/>
      <c r="H202" s="14" t="str">
        <f>HYPERLINK("https://pulti.ua/tv/pult-dlja-hitachi-cle-865a")</f>
        <v>https://pulti.ua/tv/pult-dlja-hitachi-cle-865a</v>
      </c>
    </row>
    <row r="203" spans="1:8" s="18" customFormat="1" ht="15" customHeight="1">
      <c r="A203" s="11">
        <v>1221</v>
      </c>
      <c r="B203" s="12" t="s">
        <v>187</v>
      </c>
      <c r="C203" s="13" t="s">
        <v>11</v>
      </c>
      <c r="D203" s="14"/>
      <c r="E203" s="9">
        <v>75</v>
      </c>
      <c r="F203" s="9">
        <f t="shared" si="7"/>
        <v>0</v>
      </c>
      <c r="G203" s="13"/>
      <c r="H203" s="14" t="str">
        <f>HYPERLINK("https://pulti.ua/tv/pult-dlja-hitachi-cle-891")</f>
        <v>https://pulti.ua/tv/pult-dlja-hitachi-cle-891</v>
      </c>
    </row>
    <row r="204" spans="1:8" s="18" customFormat="1" ht="15" customHeight="1">
      <c r="A204" s="11">
        <v>1222</v>
      </c>
      <c r="B204" s="12" t="s">
        <v>188</v>
      </c>
      <c r="C204" s="13" t="s">
        <v>11</v>
      </c>
      <c r="D204" s="14"/>
      <c r="E204" s="9">
        <v>52.5</v>
      </c>
      <c r="F204" s="9">
        <f t="shared" si="7"/>
        <v>0</v>
      </c>
      <c r="G204" s="13"/>
      <c r="H204" s="14" t="str">
        <f>HYPERLINK("https://pulti.ua/tv/pult-dlja-hitachi-cle-898")</f>
        <v>https://pulti.ua/tv/pult-dlja-hitachi-cle-898</v>
      </c>
    </row>
    <row r="205" spans="1:8" s="18" customFormat="1" ht="15" customHeight="1">
      <c r="A205" s="11">
        <v>1224</v>
      </c>
      <c r="B205" s="12" t="s">
        <v>189</v>
      </c>
      <c r="C205" s="13" t="s">
        <v>11</v>
      </c>
      <c r="D205" s="14"/>
      <c r="E205" s="9">
        <v>56.3</v>
      </c>
      <c r="F205" s="9">
        <f t="shared" si="7"/>
        <v>0</v>
      </c>
      <c r="G205" s="13"/>
      <c r="H205" s="14" t="str">
        <f>HYPERLINK("https://pulti.ua/tv/pult-dlja-hitachi-cle-924")</f>
        <v>https://pulti.ua/tv/pult-dlja-hitachi-cle-924</v>
      </c>
    </row>
    <row r="206" spans="1:8" s="18" customFormat="1" ht="15" customHeight="1">
      <c r="A206" s="11">
        <v>1225</v>
      </c>
      <c r="B206" s="12" t="s">
        <v>190</v>
      </c>
      <c r="C206" s="13" t="s">
        <v>11</v>
      </c>
      <c r="D206" s="14"/>
      <c r="E206" s="9">
        <v>45</v>
      </c>
      <c r="F206" s="9">
        <f t="shared" si="7"/>
        <v>0</v>
      </c>
      <c r="G206" s="13"/>
      <c r="H206" s="14" t="str">
        <f>HYPERLINK("https://pulti.ua/tv/pult--dlja-hitachi-cle-937")</f>
        <v>https://pulti.ua/tv/pult--dlja-hitachi-cle-937</v>
      </c>
    </row>
    <row r="207" spans="1:8" s="18" customFormat="1" ht="15" customHeight="1">
      <c r="A207" s="39">
        <v>1226</v>
      </c>
      <c r="B207" s="26" t="s">
        <v>191</v>
      </c>
      <c r="C207" s="13" t="s">
        <v>11</v>
      </c>
      <c r="D207" s="14"/>
      <c r="E207" s="9">
        <v>63.8</v>
      </c>
      <c r="F207" s="9">
        <f t="shared" si="7"/>
        <v>0</v>
      </c>
      <c r="G207" s="13"/>
      <c r="H207" s="14" t="str">
        <f>HYPERLINK("https://pulti.ua/tv/pult-dlja-hitachi-cle-947")</f>
        <v>https://pulti.ua/tv/pult-dlja-hitachi-cle-947</v>
      </c>
    </row>
    <row r="208" spans="1:8" s="18" customFormat="1" ht="15" customHeight="1">
      <c r="A208" s="39">
        <v>1227</v>
      </c>
      <c r="B208" s="26" t="s">
        <v>192</v>
      </c>
      <c r="C208" s="13" t="s">
        <v>11</v>
      </c>
      <c r="D208" s="14"/>
      <c r="E208" s="9">
        <v>101.3</v>
      </c>
      <c r="F208" s="9">
        <f t="shared" si="7"/>
        <v>0</v>
      </c>
      <c r="G208" s="13"/>
      <c r="H208" s="14" t="str">
        <f>HYPERLINK("https://pulti.ua/tv/pult-dlja-hitachi-cle-964")</f>
        <v>https://pulti.ua/tv/pult-dlja-hitachi-cle-964</v>
      </c>
    </row>
    <row r="209" spans="1:8" s="18" customFormat="1" ht="15" customHeight="1">
      <c r="A209" s="39">
        <v>3018</v>
      </c>
      <c r="B209" s="26" t="s">
        <v>193</v>
      </c>
      <c r="C209" s="13" t="s">
        <v>22</v>
      </c>
      <c r="D209" s="14"/>
      <c r="E209" s="9">
        <v>206.3</v>
      </c>
      <c r="F209" s="9">
        <f t="shared" si="7"/>
        <v>0</v>
      </c>
      <c r="G209" s="13"/>
      <c r="H209" s="14" t="str">
        <f>HYPERLINK("https://pulti.ua/tv/pult-dlja-hitachi-cle-996")</f>
        <v>https://pulti.ua/tv/pult-dlja-hitachi-cle-996</v>
      </c>
    </row>
    <row r="210" spans="1:8" s="18" customFormat="1" ht="15" customHeight="1">
      <c r="A210" s="11">
        <v>2682</v>
      </c>
      <c r="B210" s="12" t="s">
        <v>194</v>
      </c>
      <c r="C210" s="13" t="s">
        <v>22</v>
      </c>
      <c r="D210" s="14"/>
      <c r="E210" s="9">
        <v>56.3</v>
      </c>
      <c r="F210" s="9">
        <f t="shared" si="7"/>
        <v>0</v>
      </c>
      <c r="G210" s="13"/>
      <c r="H210" s="14" t="str">
        <f>HYPERLINK("https://pulti.ua/tv/pult-dlja-hpc-lha-1528-2698")</f>
        <v>https://pulti.ua/tv/pult-dlja-hpc-lha-1528-2698</v>
      </c>
    </row>
    <row r="211" spans="1:8" s="18" customFormat="1" ht="15" customHeight="1">
      <c r="A211" s="39">
        <v>3532</v>
      </c>
      <c r="B211" s="26" t="s">
        <v>195</v>
      </c>
      <c r="C211" s="13" t="s">
        <v>11</v>
      </c>
      <c r="D211" s="14"/>
      <c r="E211" s="9">
        <v>63.8</v>
      </c>
      <c r="F211" s="9">
        <f t="shared" si="7"/>
        <v>0</v>
      </c>
      <c r="G211" s="13"/>
      <c r="H211" s="14" t="str">
        <f>HYPERLINK("https://pulti.ua/tv/pult-dlja-hyundai-56m2-901-ic")</f>
        <v>https://pulti.ua/tv/pult-dlja-hyundai-56m2-901-ic</v>
      </c>
    </row>
    <row r="212" spans="1:8" s="18" customFormat="1" ht="15" customHeight="1">
      <c r="A212" s="11">
        <v>2670</v>
      </c>
      <c r="B212" s="12" t="s">
        <v>196</v>
      </c>
      <c r="C212" s="13" t="s">
        <v>11</v>
      </c>
      <c r="D212" s="14"/>
      <c r="E212" s="9">
        <v>56.3</v>
      </c>
      <c r="F212" s="9">
        <f t="shared" si="7"/>
        <v>0</v>
      </c>
      <c r="G212" s="13"/>
      <c r="H212" s="14" t="str">
        <f>HYPERLINK("https://pulti.ua/tv/pult-dlja-hyundai-56m2-901")</f>
        <v>https://pulti.ua/tv/pult-dlja-hyundai-56m2-901</v>
      </c>
    </row>
    <row r="213" spans="1:8" s="18" customFormat="1" ht="15" customHeight="1">
      <c r="A213" s="39">
        <v>3069</v>
      </c>
      <c r="B213" s="26" t="s">
        <v>197</v>
      </c>
      <c r="C213" s="13" t="s">
        <v>11</v>
      </c>
      <c r="D213" s="14"/>
      <c r="E213" s="9">
        <v>93.8</v>
      </c>
      <c r="F213" s="9">
        <f t="shared" si="7"/>
        <v>0</v>
      </c>
      <c r="G213" s="13"/>
      <c r="H213" s="14" t="str">
        <f>HYPERLINK("https://pulti.ua/tv/pult-dlja-hyundai-hy-57lo")</f>
        <v>https://pulti.ua/tv/pult-dlja-hyundai-hy-57lo</v>
      </c>
    </row>
    <row r="214" spans="1:8" s="18" customFormat="1" ht="15" customHeight="1">
      <c r="A214" s="11">
        <v>2671</v>
      </c>
      <c r="B214" s="12" t="s">
        <v>198</v>
      </c>
      <c r="C214" s="13" t="s">
        <v>11</v>
      </c>
      <c r="D214" s="14"/>
      <c r="E214" s="9">
        <v>60</v>
      </c>
      <c r="F214" s="9">
        <f t="shared" si="7"/>
        <v>0</v>
      </c>
      <c r="G214" s="13"/>
      <c r="H214" s="14" t="str">
        <f>HYPERLINK("https://pulti.ua/tv/pult-dlja-hyundai-5z51-902")</f>
        <v>https://pulti.ua/tv/pult-dlja-hyundai-5z51-902</v>
      </c>
    </row>
    <row r="215" spans="1:8" s="18" customFormat="1" ht="15" customHeight="1">
      <c r="A215" s="11">
        <v>2673</v>
      </c>
      <c r="B215" s="12" t="s">
        <v>1332</v>
      </c>
      <c r="C215" s="13" t="s">
        <v>11</v>
      </c>
      <c r="D215" s="14"/>
      <c r="E215" s="9">
        <v>58.1</v>
      </c>
      <c r="F215" s="9">
        <f t="shared" si="7"/>
        <v>0</v>
      </c>
      <c r="G215" s="13"/>
      <c r="H215" s="14" t="str">
        <f>HYPERLINK("https://pulti.ua/tv/pult-dlja-hyundai-bc-1202-knopka-chiii")</f>
        <v>https://pulti.ua/tv/pult-dlja-hyundai-bc-1202-knopka-chiii</v>
      </c>
    </row>
    <row r="216" spans="1:8" s="18" customFormat="1" ht="15" customHeight="1">
      <c r="A216" s="39">
        <v>3419</v>
      </c>
      <c r="B216" s="26" t="s">
        <v>1333</v>
      </c>
      <c r="C216" s="13" t="s">
        <v>11</v>
      </c>
      <c r="D216" s="14"/>
      <c r="E216" s="9">
        <v>56.3</v>
      </c>
      <c r="F216" s="9">
        <f t="shared" si="7"/>
        <v>0</v>
      </c>
      <c r="G216" s="13"/>
      <c r="H216" s="14" t="str">
        <f>HYPERLINK("https://pulti.ua/tv/pult-dlja-hyundai-bc-1202-knopka-chiii--ic")</f>
        <v>https://pulti.ua/tv/pult-dlja-hyundai-bc-1202-knopka-chiii--ic</v>
      </c>
    </row>
    <row r="217" spans="1:8" s="18" customFormat="1" ht="15" customHeight="1">
      <c r="A217" s="39">
        <v>3420</v>
      </c>
      <c r="B217" s="26" t="s">
        <v>1334</v>
      </c>
      <c r="C217" s="13" t="s">
        <v>11</v>
      </c>
      <c r="D217" s="14"/>
      <c r="E217" s="9">
        <v>71.3</v>
      </c>
      <c r="F217" s="9">
        <f t="shared" si="7"/>
        <v>0</v>
      </c>
      <c r="G217" s="13"/>
      <c r="H217" s="14" t="str">
        <f>HYPERLINK("https://pulti.ua/tv/pult-dlja-hyundai-bc-1202-knopka-pp-ic")</f>
        <v>https://pulti.ua/tv/pult-dlja-hyundai-bc-1202-knopka-pp-ic</v>
      </c>
    </row>
    <row r="218" spans="1:8" s="18" customFormat="1" ht="15" customHeight="1">
      <c r="A218" s="39">
        <v>2676</v>
      </c>
      <c r="B218" s="26" t="s">
        <v>199</v>
      </c>
      <c r="C218" s="13" t="s">
        <v>22</v>
      </c>
      <c r="D218" s="14"/>
      <c r="E218" s="9">
        <v>75</v>
      </c>
      <c r="F218" s="9">
        <f t="shared" si="7"/>
        <v>0</v>
      </c>
      <c r="G218" s="13"/>
      <c r="H218" s="14" t="str">
        <f>HYPERLINK("https://pulti.ua/tv/pult-dlja-hyundai-h-lcd1510")</f>
        <v>https://pulti.ua/tv/pult-dlja-hyundai-h-lcd1510</v>
      </c>
    </row>
    <row r="219" spans="1:8" s="18" customFormat="1" ht="15" customHeight="1">
      <c r="A219" s="39">
        <v>3383</v>
      </c>
      <c r="B219" s="26" t="s">
        <v>200</v>
      </c>
      <c r="C219" s="13" t="s">
        <v>22</v>
      </c>
      <c r="D219" s="14"/>
      <c r="E219" s="9">
        <v>251.3</v>
      </c>
      <c r="F219" s="9">
        <f t="shared" si="7"/>
        <v>0</v>
      </c>
      <c r="G219" s="13"/>
      <c r="H219" s="14" t="str">
        <f>HYPERLINK("https://pulti.ua/tv/pult-dlja-hyundai-h-lcd1515")</f>
        <v>https://pulti.ua/tv/pult-dlja-hyundai-h-lcd1515</v>
      </c>
    </row>
    <row r="220" spans="1:8" s="18" customFormat="1" ht="15" customHeight="1">
      <c r="A220" s="39">
        <v>3108</v>
      </c>
      <c r="B220" s="26" t="s">
        <v>201</v>
      </c>
      <c r="C220" s="13" t="s">
        <v>22</v>
      </c>
      <c r="D220" s="14"/>
      <c r="E220" s="9">
        <v>198.8</v>
      </c>
      <c r="F220" s="9">
        <f t="shared" si="7"/>
        <v>0</v>
      </c>
      <c r="G220" s="13"/>
      <c r="H220" s="14" t="str">
        <f>HYPERLINK("https://pulti.ua/tv/pult-dlja-hyundai-h-lcd2202-gcova1028sj")</f>
        <v>https://pulti.ua/tv/pult-dlja-hyundai-h-lcd2202-gcova1028sj</v>
      </c>
    </row>
    <row r="221" spans="1:8" s="18" customFormat="1" ht="15" customHeight="1">
      <c r="A221" s="39">
        <v>2677</v>
      </c>
      <c r="B221" s="26" t="s">
        <v>202</v>
      </c>
      <c r="C221" s="13" t="s">
        <v>22</v>
      </c>
      <c r="D221" s="14"/>
      <c r="E221" s="9">
        <v>90</v>
      </c>
      <c r="F221" s="9">
        <f t="shared" si="7"/>
        <v>0</v>
      </c>
      <c r="G221" s="13"/>
      <c r="H221" s="14" t="str">
        <f>HYPERLINK("https://pulti.ua/tv/pult-dlja-hyundai-h-lcdvd1912")</f>
        <v>https://pulti.ua/tv/pult-dlja-hyundai-h-lcdvd1912</v>
      </c>
    </row>
    <row r="222" spans="1:8" s="18" customFormat="1" ht="15" customHeight="1">
      <c r="A222" s="39">
        <v>3784</v>
      </c>
      <c r="B222" s="26" t="s">
        <v>203</v>
      </c>
      <c r="C222" s="13" t="s">
        <v>14</v>
      </c>
      <c r="D222" s="14"/>
      <c r="E222" s="9">
        <v>97.5</v>
      </c>
      <c r="F222" s="9">
        <f t="shared" si="7"/>
        <v>0</v>
      </c>
      <c r="G222" s="13"/>
      <c r="H222" s="14" t="str">
        <f>HYPERLINK("https://pulti.ua/tv/pult-dlja-hyundai-h-led24v16-h-led15v16-ic")</f>
        <v>https://pulti.ua/tv/pult-dlja-hyundai-h-led24v16-h-led15v16-ic</v>
      </c>
    </row>
    <row r="223" spans="1:8" s="18" customFormat="1" ht="15" customHeight="1">
      <c r="A223" s="39">
        <v>3055</v>
      </c>
      <c r="B223" s="26" t="s">
        <v>204</v>
      </c>
      <c r="C223" s="13" t="s">
        <v>14</v>
      </c>
      <c r="D223" s="14"/>
      <c r="E223" s="9">
        <v>78.8</v>
      </c>
      <c r="F223" s="9">
        <f t="shared" si="7"/>
        <v>0</v>
      </c>
      <c r="G223" s="13"/>
      <c r="H223" s="14" t="str">
        <f>HYPERLINK("https://pulti.ua/tv/pult-dlja-hyundai-h-led32v6")</f>
        <v>https://pulti.ua/tv/pult-dlja-hyundai-h-led32v6</v>
      </c>
    </row>
    <row r="224" spans="1:8" s="18" customFormat="1" ht="15" customHeight="1">
      <c r="A224" s="39">
        <v>4624</v>
      </c>
      <c r="B224" s="26" t="s">
        <v>205</v>
      </c>
      <c r="C224" s="13" t="s">
        <v>14</v>
      </c>
      <c r="D224" s="14"/>
      <c r="E224" s="9">
        <v>161.3</v>
      </c>
      <c r="F224" s="9">
        <f t="shared" si="7"/>
        <v>0</v>
      </c>
      <c r="G224" s="13"/>
      <c r="H224" s="14" t="str">
        <f>HYPERLINK("https://pulti.ua/tv/pult-dlya-hyundai-h-led43eu7001")</f>
        <v>https://pulti.ua/tv/pult-dlya-hyundai-h-led43eu7001</v>
      </c>
    </row>
    <row r="225" spans="1:8" s="18" customFormat="1" ht="15" customHeight="1">
      <c r="A225" s="11">
        <v>2680</v>
      </c>
      <c r="B225" s="12" t="s">
        <v>206</v>
      </c>
      <c r="C225" s="13" t="s">
        <v>11</v>
      </c>
      <c r="D225" s="14"/>
      <c r="E225" s="9">
        <v>63.8</v>
      </c>
      <c r="F225" s="9">
        <f t="shared" si="7"/>
        <v>0</v>
      </c>
      <c r="G225" s="13"/>
      <c r="H225" s="14" t="str">
        <f>HYPERLINK("https://pulti.ua/tv/pult-dlja-hyundai-mb-105")</f>
        <v>https://pulti.ua/tv/pult-dlja-hyundai-mb-105</v>
      </c>
    </row>
    <row r="226" spans="1:8" s="18" customFormat="1" ht="15" customHeight="1">
      <c r="A226" s="11">
        <v>2909</v>
      </c>
      <c r="B226" s="12" t="s">
        <v>207</v>
      </c>
      <c r="C226" s="13" t="s">
        <v>11</v>
      </c>
      <c r="D226" s="14"/>
      <c r="E226" s="9">
        <v>120</v>
      </c>
      <c r="F226" s="9">
        <f t="shared" si="7"/>
        <v>0</v>
      </c>
      <c r="G226" s="13"/>
      <c r="H226" s="14" t="str">
        <f>HYPERLINK("https://pulti.ua/tv/pult-dlja-hyundai-rc-3901")</f>
        <v>https://pulti.ua/tv/pult-dlja-hyundai-rc-3901</v>
      </c>
    </row>
    <row r="227" spans="1:8" s="18" customFormat="1" ht="15" customHeight="1">
      <c r="A227" s="39">
        <v>3575</v>
      </c>
      <c r="B227" s="26" t="s">
        <v>208</v>
      </c>
      <c r="C227" s="13" t="s">
        <v>22</v>
      </c>
      <c r="D227" s="14"/>
      <c r="E227" s="9">
        <v>187.5</v>
      </c>
      <c r="F227" s="9">
        <f t="shared" si="7"/>
        <v>0</v>
      </c>
      <c r="G227" s="13"/>
      <c r="H227" s="14" t="str">
        <f>HYPERLINK("https://pulti.ua/tv/pult-dlja-hyundai-rc44f-h-led24v5")</f>
        <v>https://pulti.ua/tv/pult-dlja-hyundai-rc44f-h-led24v5</v>
      </c>
    </row>
    <row r="228" spans="1:8" s="18" customFormat="1" ht="15" customHeight="1">
      <c r="A228" s="11">
        <v>2681</v>
      </c>
      <c r="B228" s="12" t="s">
        <v>209</v>
      </c>
      <c r="C228" s="13" t="s">
        <v>11</v>
      </c>
      <c r="D228" s="14"/>
      <c r="E228" s="9">
        <v>54.4</v>
      </c>
      <c r="F228" s="9">
        <f t="shared" si="7"/>
        <v>0</v>
      </c>
      <c r="G228" s="13"/>
      <c r="H228" s="14" t="str">
        <f>HYPERLINK("https://pulti.ua/tv/pult-dlja-hyundai--rc-9381")</f>
        <v>https://pulti.ua/tv/pult-dlja-hyundai--rc-9381</v>
      </c>
    </row>
    <row r="229" spans="1:8" s="18" customFormat="1" ht="15" customHeight="1">
      <c r="A229" s="39">
        <v>3219</v>
      </c>
      <c r="B229" s="26" t="s">
        <v>210</v>
      </c>
      <c r="C229" s="13" t="s">
        <v>11</v>
      </c>
      <c r="D229" s="14"/>
      <c r="E229" s="9">
        <v>61.9</v>
      </c>
      <c r="F229" s="9">
        <f t="shared" si="7"/>
        <v>0</v>
      </c>
      <c r="G229" s="13"/>
      <c r="H229" s="14" t="str">
        <f>HYPERLINK("https://pulti.ua/tv/pult-dlja-hyundai--rc-9381-ic")</f>
        <v>https://pulti.ua/tv/pult-dlja-hyundai--rc-9381-ic</v>
      </c>
    </row>
    <row r="230" spans="1:8" s="18" customFormat="1" ht="15" customHeight="1">
      <c r="A230" s="39">
        <v>3382</v>
      </c>
      <c r="B230" s="26" t="s">
        <v>211</v>
      </c>
      <c r="C230" s="13" t="s">
        <v>22</v>
      </c>
      <c r="D230" s="14"/>
      <c r="E230" s="9">
        <v>195</v>
      </c>
      <c r="F230" s="9">
        <f t="shared" si="7"/>
        <v>0</v>
      </c>
      <c r="G230" s="13"/>
      <c r="H230" s="14" t="str">
        <f>HYPERLINK("https://pulti.ua/tv/pult-dlja-izumi-tl32h211b")</f>
        <v>https://pulti.ua/tv/pult-dlja-izumi-tl32h211b</v>
      </c>
    </row>
    <row r="231" spans="1:8" s="18" customFormat="1" ht="15" customHeight="1">
      <c r="A231" s="39">
        <v>3937</v>
      </c>
      <c r="B231" s="26" t="s">
        <v>212</v>
      </c>
      <c r="C231" s="13" t="s">
        <v>22</v>
      </c>
      <c r="D231" s="14"/>
      <c r="E231" s="9">
        <v>101.3</v>
      </c>
      <c r="F231" s="9">
        <f t="shared" si="7"/>
        <v>0</v>
      </c>
      <c r="G231" s="13"/>
      <c r="H231" s="14" t="str">
        <f>HYPERLINK("https://pulti.ua/tv/pult-dlja-izumi-tle22fd330b")</f>
        <v>https://pulti.ua/tv/pult-dlja-izumi-tle22fd330b</v>
      </c>
    </row>
    <row r="232" spans="1:8" s="18" customFormat="1" ht="15" customHeight="1">
      <c r="A232" s="11">
        <v>2690</v>
      </c>
      <c r="B232" s="12" t="s">
        <v>213</v>
      </c>
      <c r="C232" s="13" t="s">
        <v>11</v>
      </c>
      <c r="D232" s="14"/>
      <c r="E232" s="9">
        <v>93.8</v>
      </c>
      <c r="F232" s="9">
        <f t="shared" si="7"/>
        <v>0</v>
      </c>
      <c r="G232" s="13"/>
      <c r="H232" s="14" t="str">
        <f>HYPERLINK("https://pulti.ua/tv/pult-dlja-jin-li-pu-p02l-n")</f>
        <v>https://pulti.ua/tv/pult-dlja-jin-li-pu-p02l-n</v>
      </c>
    </row>
    <row r="233" spans="1:8" s="18" customFormat="1" ht="15" customHeight="1">
      <c r="A233" s="39">
        <v>3533</v>
      </c>
      <c r="B233" s="26" t="s">
        <v>214</v>
      </c>
      <c r="C233" s="13" t="s">
        <v>11</v>
      </c>
      <c r="D233" s="14"/>
      <c r="E233" s="9">
        <v>63.8</v>
      </c>
      <c r="F233" s="9">
        <f t="shared" si="7"/>
        <v>0</v>
      </c>
      <c r="G233" s="13"/>
      <c r="H233" s="14" t="str">
        <f>HYPERLINK("https://pulti.ua/tv/pult-dlja-jin-li-pu-rc-241-ic")</f>
        <v>https://pulti.ua/tv/pult-dlja-jin-li-pu-rc-241-ic</v>
      </c>
    </row>
    <row r="234" spans="1:8" s="18" customFormat="1" ht="15" customHeight="1">
      <c r="A234" s="39">
        <v>4297</v>
      </c>
      <c r="B234" s="26" t="s">
        <v>1335</v>
      </c>
      <c r="C234" s="13" t="s">
        <v>14</v>
      </c>
      <c r="D234" s="14"/>
      <c r="E234" s="9">
        <v>93.8</v>
      </c>
      <c r="F234" s="9">
        <f t="shared" si="7"/>
        <v>0</v>
      </c>
      <c r="G234" s="13"/>
      <c r="H234" s="14" t="str">
        <f>HYPERLINK("https://pulti.ua/tv/pult-dlya-jvc-kt1157-hh")</f>
        <v>https://pulti.ua/tv/pult-dlya-jvc-kt1157-hh</v>
      </c>
    </row>
    <row r="235" spans="1:8" s="18" customFormat="1" ht="15" customHeight="1">
      <c r="A235" s="39">
        <v>3884</v>
      </c>
      <c r="B235" s="26" t="s">
        <v>215</v>
      </c>
      <c r="C235" s="13" t="s">
        <v>14</v>
      </c>
      <c r="D235" s="14"/>
      <c r="E235" s="9">
        <v>91.9</v>
      </c>
      <c r="F235" s="9">
        <f t="shared" si="7"/>
        <v>0</v>
      </c>
      <c r="G235" s="13"/>
      <c r="H235" s="14" t="str">
        <f>HYPERLINK("https://pulti.ua/tv/pult-dlja-jvc-lcd-kt1157-sx")</f>
        <v>https://pulti.ua/tv/pult-dlja-jvc-lcd-kt1157-sx</v>
      </c>
    </row>
    <row r="236" spans="1:8" s="18" customFormat="1" ht="15" customHeight="1">
      <c r="A236" s="11">
        <v>1262</v>
      </c>
      <c r="B236" s="12" t="s">
        <v>216</v>
      </c>
      <c r="C236" s="13" t="s">
        <v>11</v>
      </c>
      <c r="D236" s="14"/>
      <c r="E236" s="9">
        <v>71.3</v>
      </c>
      <c r="F236" s="9">
        <f t="shared" si="7"/>
        <v>0</v>
      </c>
      <c r="G236" s="13"/>
      <c r="H236" s="14" t="str">
        <f>HYPERLINK("https://pulti.ua/tv/pult-dlja-jvc-rm-c1023")</f>
        <v>https://pulti.ua/tv/pult-dlja-jvc-rm-c1023</v>
      </c>
    </row>
    <row r="237" spans="1:8" s="18" customFormat="1" ht="15" customHeight="1">
      <c r="A237" s="11">
        <v>1263</v>
      </c>
      <c r="B237" s="12" t="s">
        <v>217</v>
      </c>
      <c r="C237" s="13" t="s">
        <v>11</v>
      </c>
      <c r="D237" s="14"/>
      <c r="E237" s="9">
        <v>78.8</v>
      </c>
      <c r="F237" s="9">
        <f t="shared" si="7"/>
        <v>0</v>
      </c>
      <c r="G237" s="13"/>
      <c r="H237" s="14" t="str">
        <f>HYPERLINK("https://pulti.ua/tv/pult-dlja-jvc-rm-c1120")</f>
        <v>https://pulti.ua/tv/pult-dlja-jvc-rm-c1120</v>
      </c>
    </row>
    <row r="238" spans="1:8" s="18" customFormat="1" ht="15" customHeight="1">
      <c r="A238" s="39">
        <v>1264</v>
      </c>
      <c r="B238" s="26" t="s">
        <v>218</v>
      </c>
      <c r="C238" s="13" t="s">
        <v>11</v>
      </c>
      <c r="D238" s="14"/>
      <c r="E238" s="9">
        <v>52.5</v>
      </c>
      <c r="F238" s="9">
        <f t="shared" si="7"/>
        <v>0</v>
      </c>
      <c r="G238" s="13"/>
      <c r="H238" s="14" t="str">
        <f>HYPERLINK("https://pulti.ua/tv/pult-dlja-jvc-rm-c1150-ic")</f>
        <v>https://pulti.ua/tv/pult-dlja-jvc-rm-c1150-ic</v>
      </c>
    </row>
    <row r="239" spans="1:8" s="18" customFormat="1" ht="15" customHeight="1">
      <c r="A239" s="11">
        <v>1265</v>
      </c>
      <c r="B239" s="12" t="s">
        <v>219</v>
      </c>
      <c r="C239" s="13" t="s">
        <v>11</v>
      </c>
      <c r="D239" s="14"/>
      <c r="E239" s="9">
        <v>46.1</v>
      </c>
      <c r="F239" s="9">
        <f t="shared" si="7"/>
        <v>0</v>
      </c>
      <c r="G239" s="13"/>
      <c r="H239" s="14" t="str">
        <f>HYPERLINK("https://pulti.ua/tv/pult-dlja-jvc-rm-c1261")</f>
        <v>https://pulti.ua/tv/pult-dlja-jvc-rm-c1261</v>
      </c>
    </row>
    <row r="240" spans="1:8" s="18" customFormat="1" ht="15" customHeight="1">
      <c r="A240" s="39">
        <v>2775</v>
      </c>
      <c r="B240" s="26" t="s">
        <v>220</v>
      </c>
      <c r="C240" s="13" t="s">
        <v>11</v>
      </c>
      <c r="D240" s="14"/>
      <c r="E240" s="9">
        <v>54.4</v>
      </c>
      <c r="F240" s="9">
        <f t="shared" si="7"/>
        <v>0</v>
      </c>
      <c r="G240" s="13"/>
      <c r="H240" s="14" t="str">
        <f>HYPERLINK("https://pulti.ua/tv/pult-dlja-jvc-rm-c1261-ic")</f>
        <v>https://pulti.ua/tv/pult-dlja-jvc-rm-c1261-ic</v>
      </c>
    </row>
    <row r="241" spans="1:8" s="18" customFormat="1" ht="15" customHeight="1">
      <c r="A241" s="11">
        <v>1267</v>
      </c>
      <c r="B241" s="12" t="s">
        <v>221</v>
      </c>
      <c r="C241" s="13" t="s">
        <v>11</v>
      </c>
      <c r="D241" s="14"/>
      <c r="E241" s="9">
        <v>54.4</v>
      </c>
      <c r="F241" s="9">
        <f t="shared" si="7"/>
        <v>0</v>
      </c>
      <c r="G241" s="13"/>
      <c r="H241" s="14" t="str">
        <f>HYPERLINK("https://pulti.ua/tv/pult-dlja--jvc-rm-c1280")</f>
        <v>https://pulti.ua/tv/pult-dlja--jvc-rm-c1280</v>
      </c>
    </row>
    <row r="242" spans="1:8" s="18" customFormat="1" ht="15" customHeight="1">
      <c r="A242" s="11">
        <v>1268</v>
      </c>
      <c r="B242" s="12" t="s">
        <v>222</v>
      </c>
      <c r="C242" s="13" t="s">
        <v>11</v>
      </c>
      <c r="D242" s="14"/>
      <c r="E242" s="9">
        <v>54.4</v>
      </c>
      <c r="F242" s="9">
        <f t="shared" si="7"/>
        <v>0</v>
      </c>
      <c r="G242" s="13"/>
      <c r="H242" s="14" t="str">
        <f>HYPERLINK("https://pulti.ua/tv/pult-dlja-jvc-rm-c1281")</f>
        <v>https://pulti.ua/tv/pult-dlja-jvc-rm-c1281</v>
      </c>
    </row>
    <row r="243" spans="1:8" s="18" customFormat="1" ht="15" customHeight="1">
      <c r="A243" s="39">
        <v>3220</v>
      </c>
      <c r="B243" s="26" t="s">
        <v>223</v>
      </c>
      <c r="C243" s="13" t="s">
        <v>11</v>
      </c>
      <c r="D243" s="14"/>
      <c r="E243" s="9">
        <v>65.6</v>
      </c>
      <c r="F243" s="9">
        <f t="shared" si="7"/>
        <v>0</v>
      </c>
      <c r="G243" s="13"/>
      <c r="H243" s="14" t="str">
        <f>HYPERLINK("https://pulti.ua/tv/pult-dlja-jvc-rm-c1281-ic")</f>
        <v>https://pulti.ua/tv/pult-dlja-jvc-rm-c1281-ic</v>
      </c>
    </row>
    <row r="244" spans="1:8" s="18" customFormat="1" ht="15" customHeight="1">
      <c r="A244" s="11">
        <v>1269</v>
      </c>
      <c r="B244" s="12" t="s">
        <v>224</v>
      </c>
      <c r="C244" s="13" t="s">
        <v>11</v>
      </c>
      <c r="D244" s="14"/>
      <c r="E244" s="9">
        <v>60</v>
      </c>
      <c r="F244" s="9">
        <f t="shared" si="7"/>
        <v>0</v>
      </c>
      <c r="G244" s="13"/>
      <c r="H244" s="14" t="str">
        <f>HYPERLINK("https://pulti.ua/tv/pult-dlja-jvc-rm-c1285")</f>
        <v>https://pulti.ua/tv/pult-dlja-jvc-rm-c1285</v>
      </c>
    </row>
    <row r="245" spans="1:8" s="18" customFormat="1" ht="15" customHeight="1">
      <c r="A245" s="11">
        <v>1270</v>
      </c>
      <c r="B245" s="12" t="s">
        <v>225</v>
      </c>
      <c r="C245" s="13" t="s">
        <v>11</v>
      </c>
      <c r="D245" s="14"/>
      <c r="E245" s="9">
        <v>60</v>
      </c>
      <c r="F245" s="9">
        <f t="shared" si="7"/>
        <v>0</v>
      </c>
      <c r="G245" s="13"/>
      <c r="H245" s="14" t="str">
        <f>HYPERLINK("https://pulti.ua/tv/pult-dlja-jvc-rm-c1302")</f>
        <v>https://pulti.ua/tv/pult-dlja-jvc-rm-c1302</v>
      </c>
    </row>
    <row r="246" spans="1:8" s="18" customFormat="1" ht="15" customHeight="1">
      <c r="A246" s="11">
        <v>1275</v>
      </c>
      <c r="B246" s="12" t="s">
        <v>226</v>
      </c>
      <c r="C246" s="13" t="s">
        <v>11</v>
      </c>
      <c r="D246" s="14"/>
      <c r="E246" s="9">
        <v>37.5</v>
      </c>
      <c r="F246" s="9">
        <f t="shared" si="7"/>
        <v>0</v>
      </c>
      <c r="G246" s="13"/>
      <c r="H246" s="14" t="str">
        <f>HYPERLINK("https://pulti.ua/tv/pult-dlja-jvc-rm-c1350")</f>
        <v>https://pulti.ua/tv/pult-dlja-jvc-rm-c1350</v>
      </c>
    </row>
    <row r="247" spans="1:8" s="18" customFormat="1" ht="15" customHeight="1">
      <c r="A247" s="39">
        <v>1235</v>
      </c>
      <c r="B247" s="26" t="s">
        <v>227</v>
      </c>
      <c r="C247" s="13" t="s">
        <v>11</v>
      </c>
      <c r="D247" s="14"/>
      <c r="E247" s="9">
        <v>56.3</v>
      </c>
      <c r="F247" s="9">
        <f t="shared" si="7"/>
        <v>0</v>
      </c>
      <c r="G247" s="13"/>
      <c r="H247" s="14" t="str">
        <f>HYPERLINK("https://pulti.ua/tv/pult-dlja-jvc-rm-c220-ic")</f>
        <v>https://pulti.ua/tv/pult-dlja-jvc-rm-c220-ic</v>
      </c>
    </row>
    <row r="248" spans="1:8" s="18" customFormat="1" ht="15" customHeight="1">
      <c r="A248" s="11">
        <v>4552</v>
      </c>
      <c r="B248" s="12" t="s">
        <v>1336</v>
      </c>
      <c r="C248" s="13" t="s">
        <v>14</v>
      </c>
      <c r="D248" s="14"/>
      <c r="E248" s="9">
        <v>168.8</v>
      </c>
      <c r="F248" s="9">
        <f t="shared" si="7"/>
        <v>0</v>
      </c>
      <c r="G248" s="13"/>
      <c r="H248" s="14" t="str">
        <f>HYPERLINK("https://pulti.ua/tv/pult-dlya-jvc-rm-c3231")</f>
        <v>https://pulti.ua/tv/pult-dlya-jvc-rm-c3231</v>
      </c>
    </row>
    <row r="249" spans="1:8" s="18" customFormat="1" ht="15" customHeight="1">
      <c r="A249" s="11">
        <v>1239</v>
      </c>
      <c r="B249" s="12" t="s">
        <v>228</v>
      </c>
      <c r="C249" s="13" t="s">
        <v>186</v>
      </c>
      <c r="D249" s="14"/>
      <c r="E249" s="9">
        <v>101.3</v>
      </c>
      <c r="F249" s="9">
        <f t="shared" si="7"/>
        <v>0</v>
      </c>
      <c r="G249" s="13"/>
      <c r="H249" s="14" t="str">
        <f>HYPERLINK("https://pulti.ua/tv/pult-dlja-jvc-rm-c333")</f>
        <v>https://pulti.ua/tv/pult-dlja-jvc-rm-c333</v>
      </c>
    </row>
    <row r="250" spans="1:8" s="18" customFormat="1" ht="15" customHeight="1">
      <c r="A250" s="11">
        <v>1240</v>
      </c>
      <c r="B250" s="12" t="s">
        <v>229</v>
      </c>
      <c r="C250" s="13" t="s">
        <v>11</v>
      </c>
      <c r="D250" s="14"/>
      <c r="E250" s="9">
        <v>37.5</v>
      </c>
      <c r="F250" s="9">
        <f t="shared" si="7"/>
        <v>0</v>
      </c>
      <c r="G250" s="13"/>
      <c r="H250" s="14" t="str">
        <f>HYPERLINK("https://pulti.ua/tv/pult-dlja-jvc-rm-c355")</f>
        <v>https://pulti.ua/tv/pult-dlja-jvc-rm-c355</v>
      </c>
    </row>
    <row r="251" spans="1:8" s="18" customFormat="1" ht="15" customHeight="1">
      <c r="A251" s="39">
        <v>3222</v>
      </c>
      <c r="B251" s="26" t="s">
        <v>230</v>
      </c>
      <c r="C251" s="13" t="s">
        <v>11</v>
      </c>
      <c r="D251" s="14"/>
      <c r="E251" s="9">
        <v>67.5</v>
      </c>
      <c r="F251" s="9">
        <f t="shared" si="7"/>
        <v>0</v>
      </c>
      <c r="G251" s="13"/>
      <c r="H251" s="14" t="str">
        <f>HYPERLINK("https://pulti.ua/tv/pult-dlja-jvc-rm-c355-ic")</f>
        <v>https://pulti.ua/tv/pult-dlja-jvc-rm-c355-ic</v>
      </c>
    </row>
    <row r="252" spans="1:8" s="18" customFormat="1" ht="15" customHeight="1">
      <c r="A252" s="11">
        <v>1241</v>
      </c>
      <c r="B252" s="12" t="s">
        <v>231</v>
      </c>
      <c r="C252" s="13" t="s">
        <v>11</v>
      </c>
      <c r="D252" s="14"/>
      <c r="E252" s="9">
        <v>52.5</v>
      </c>
      <c r="F252" s="9">
        <f t="shared" si="7"/>
        <v>0</v>
      </c>
      <c r="G252" s="13"/>
      <c r="H252" s="14" t="str">
        <f>HYPERLINK("https://pulti.ua/tv/pult-dlja-jvc-rm-c360")</f>
        <v>https://pulti.ua/tv/pult-dlja-jvc-rm-c360</v>
      </c>
    </row>
    <row r="253" spans="1:8" s="18" customFormat="1" ht="15" customHeight="1">
      <c r="A253" s="11">
        <v>1243</v>
      </c>
      <c r="B253" s="12" t="s">
        <v>232</v>
      </c>
      <c r="C253" s="13" t="s">
        <v>11</v>
      </c>
      <c r="D253" s="14"/>
      <c r="E253" s="9">
        <v>48.8</v>
      </c>
      <c r="F253" s="9">
        <f t="shared" si="7"/>
        <v>0</v>
      </c>
      <c r="G253" s="13"/>
      <c r="H253" s="14" t="str">
        <f>HYPERLINK("https://pulti.ua/tv/pult-dlja-jvc-rm-c364gy")</f>
        <v>https://pulti.ua/tv/pult-dlja-jvc-rm-c364gy</v>
      </c>
    </row>
    <row r="254" spans="1:8" s="18" customFormat="1" ht="15" customHeight="1">
      <c r="A254" s="39">
        <v>2733</v>
      </c>
      <c r="B254" s="26" t="s">
        <v>233</v>
      </c>
      <c r="C254" s="13" t="s">
        <v>11</v>
      </c>
      <c r="D254" s="14"/>
      <c r="E254" s="9">
        <v>52.5</v>
      </c>
      <c r="F254" s="9">
        <f t="shared" si="7"/>
        <v>0</v>
      </c>
      <c r="G254" s="13"/>
      <c r="H254" s="14" t="str">
        <f>HYPERLINK("https://pulti.ua/tv/pult-dlja-jvc-rm-c364gy-ic")</f>
        <v>https://pulti.ua/tv/pult-dlja-jvc-rm-c364gy-ic</v>
      </c>
    </row>
    <row r="255" spans="1:8" s="18" customFormat="1" ht="15" customHeight="1">
      <c r="A255" s="11">
        <v>1247</v>
      </c>
      <c r="B255" s="12" t="s">
        <v>234</v>
      </c>
      <c r="C255" s="13" t="s">
        <v>11</v>
      </c>
      <c r="D255" s="14"/>
      <c r="E255" s="9">
        <v>101.3</v>
      </c>
      <c r="F255" s="9">
        <f t="shared" si="7"/>
        <v>0</v>
      </c>
      <c r="G255" s="13"/>
      <c r="H255" s="14" t="str">
        <f>HYPERLINK("https://pulti.ua/tv/pult-dlja-jvc-rm-c438")</f>
        <v>https://pulti.ua/tv/pult-dlja-jvc-rm-c438</v>
      </c>
    </row>
    <row r="256" spans="1:8" s="18" customFormat="1" ht="15" customHeight="1">
      <c r="A256" s="39">
        <v>1537</v>
      </c>
      <c r="B256" s="26" t="s">
        <v>235</v>
      </c>
      <c r="C256" s="13" t="s">
        <v>11</v>
      </c>
      <c r="D256" s="14"/>
      <c r="E256" s="9">
        <v>60</v>
      </c>
      <c r="F256" s="9">
        <f t="shared" si="7"/>
        <v>0</v>
      </c>
      <c r="G256" s="13"/>
      <c r="H256" s="14" t="str">
        <f>HYPERLINK("https://pulti.ua/tv/pult-dlya-jvc-rm-c457-hq")</f>
        <v>https://pulti.ua/tv/pult-dlya-jvc-rm-c457-hq</v>
      </c>
    </row>
    <row r="257" spans="1:8" s="18" customFormat="1" ht="15" customHeight="1">
      <c r="A257" s="11">
        <v>1250</v>
      </c>
      <c r="B257" s="12" t="s">
        <v>236</v>
      </c>
      <c r="C257" s="13" t="s">
        <v>11</v>
      </c>
      <c r="D257" s="14"/>
      <c r="E257" s="9">
        <v>56.3</v>
      </c>
      <c r="F257" s="9">
        <f t="shared" si="7"/>
        <v>0</v>
      </c>
      <c r="G257" s="13"/>
      <c r="H257" s="14" t="str">
        <f>HYPERLINK("https://pulti.ua/tv/pult-dlja-jvc-rm-c462")</f>
        <v>https://pulti.ua/tv/pult-dlja-jvc-rm-c462</v>
      </c>
    </row>
    <row r="258" spans="1:8" s="18" customFormat="1" ht="15" customHeight="1">
      <c r="A258" s="11">
        <v>1253</v>
      </c>
      <c r="B258" s="12" t="s">
        <v>237</v>
      </c>
      <c r="C258" s="13" t="s">
        <v>11</v>
      </c>
      <c r="D258" s="14"/>
      <c r="E258" s="9">
        <v>60</v>
      </c>
      <c r="F258" s="9">
        <f t="shared" si="7"/>
        <v>0</v>
      </c>
      <c r="G258" s="13"/>
      <c r="H258" s="14" t="str">
        <f>HYPERLINK("https://pulti.ua/tv/pult-dlja-jvc-rm-c470")</f>
        <v>https://pulti.ua/tv/pult-dlja-jvc-rm-c470</v>
      </c>
    </row>
    <row r="259" spans="1:8" s="18" customFormat="1" ht="15" customHeight="1">
      <c r="A259" s="39">
        <v>1254</v>
      </c>
      <c r="B259" s="26" t="s">
        <v>238</v>
      </c>
      <c r="C259" s="13" t="s">
        <v>11</v>
      </c>
      <c r="D259" s="14"/>
      <c r="E259" s="9">
        <v>112.5</v>
      </c>
      <c r="F259" s="9">
        <f t="shared" si="7"/>
        <v>0</v>
      </c>
      <c r="G259" s="13"/>
      <c r="H259" s="14" t="str">
        <f>HYPERLINK("https://pulti.ua/tv/pult-dlja-jvc-rm-c495")</f>
        <v>https://pulti.ua/tv/pult-dlja-jvc-rm-c495</v>
      </c>
    </row>
    <row r="260" spans="1:8" s="18" customFormat="1" ht="15" customHeight="1">
      <c r="A260" s="11">
        <v>1255</v>
      </c>
      <c r="B260" s="12" t="s">
        <v>239</v>
      </c>
      <c r="C260" s="13" t="s">
        <v>11</v>
      </c>
      <c r="D260" s="14"/>
      <c r="E260" s="9">
        <v>67.5</v>
      </c>
      <c r="F260" s="9">
        <f t="shared" si="7"/>
        <v>0</v>
      </c>
      <c r="G260" s="13"/>
      <c r="H260" s="14" t="str">
        <f>HYPERLINK("https://pulti.ua/tv/pult-dlja-jvc-rm-c498")</f>
        <v>https://pulti.ua/tv/pult-dlja-jvc-rm-c498</v>
      </c>
    </row>
    <row r="261" spans="1:8" s="18" customFormat="1" ht="15" customHeight="1">
      <c r="A261" s="11">
        <v>1256</v>
      </c>
      <c r="B261" s="12" t="s">
        <v>240</v>
      </c>
      <c r="C261" s="13" t="s">
        <v>11</v>
      </c>
      <c r="D261" s="14"/>
      <c r="E261" s="9">
        <v>56.3</v>
      </c>
      <c r="F261" s="9">
        <f t="shared" si="7"/>
        <v>0</v>
      </c>
      <c r="G261" s="13"/>
      <c r="H261" s="14" t="str">
        <f>HYPERLINK("https://pulti.ua/tv/pult-dlja-jvc-rm-c530")</f>
        <v>https://pulti.ua/tv/pult-dlja-jvc-rm-c530</v>
      </c>
    </row>
    <row r="262" spans="1:8" s="18" customFormat="1" ht="15" customHeight="1">
      <c r="A262" s="11">
        <v>1257</v>
      </c>
      <c r="B262" s="12" t="s">
        <v>241</v>
      </c>
      <c r="C262" s="13" t="s">
        <v>11</v>
      </c>
      <c r="D262" s="14"/>
      <c r="E262" s="9">
        <v>54.4</v>
      </c>
      <c r="F262" s="9">
        <f t="shared" si="7"/>
        <v>0</v>
      </c>
      <c r="G262" s="13"/>
      <c r="H262" s="14" t="str">
        <f>HYPERLINK("https://pulti.ua/tv/pult-dlja-jvc-rm-c530f")</f>
        <v>https://pulti.ua/tv/pult-dlja-jvc-rm-c530f</v>
      </c>
    </row>
    <row r="263" spans="1:8" s="18" customFormat="1" ht="15" customHeight="1">
      <c r="A263" s="11">
        <v>1258</v>
      </c>
      <c r="B263" s="12" t="s">
        <v>242</v>
      </c>
      <c r="C263" s="13" t="s">
        <v>11</v>
      </c>
      <c r="D263" s="14"/>
      <c r="E263" s="9">
        <v>60</v>
      </c>
      <c r="F263" s="9">
        <f t="shared" si="7"/>
        <v>0</v>
      </c>
      <c r="G263" s="13"/>
      <c r="H263" s="14" t="str">
        <f>HYPERLINK("https://pulti.ua/tv/pult-dlja-jvc-rm-c547")</f>
        <v>https://pulti.ua/tv/pult-dlja-jvc-rm-c547</v>
      </c>
    </row>
    <row r="264" spans="1:8" s="18" customFormat="1" ht="15" customHeight="1">
      <c r="A264" s="11">
        <v>1260</v>
      </c>
      <c r="B264" s="12" t="s">
        <v>243</v>
      </c>
      <c r="C264" s="13" t="s">
        <v>11</v>
      </c>
      <c r="D264" s="14"/>
      <c r="E264" s="9">
        <v>56.3</v>
      </c>
      <c r="F264" s="9">
        <f t="shared" si="7"/>
        <v>0</v>
      </c>
      <c r="G264" s="13"/>
      <c r="H264" s="14" t="str">
        <f>HYPERLINK("https://pulti.ua/tv/pult-dlja-jvc-rm-c565")</f>
        <v>https://pulti.ua/tv/pult-dlja-jvc-rm-c565</v>
      </c>
    </row>
    <row r="265" spans="1:8" s="18" customFormat="1" ht="15" customHeight="1">
      <c r="A265" s="11">
        <v>1233</v>
      </c>
      <c r="B265" s="12" t="s">
        <v>244</v>
      </c>
      <c r="C265" s="13" t="s">
        <v>11</v>
      </c>
      <c r="D265" s="14"/>
      <c r="E265" s="9">
        <v>60</v>
      </c>
      <c r="F265" s="9">
        <f>D265*E265</f>
        <v>0</v>
      </c>
      <c r="G265" s="13"/>
      <c r="H265" s="14" t="str">
        <f>HYPERLINK("https://pulti.ua/tv/pult-dlja-jvc-rm-c90")</f>
        <v>https://pulti.ua/tv/pult-dlja-jvc-rm-c90</v>
      </c>
    </row>
    <row r="266" spans="1:8" s="18" customFormat="1" ht="15" customHeight="1">
      <c r="A266" s="39">
        <v>3421</v>
      </c>
      <c r="B266" s="26" t="s">
        <v>245</v>
      </c>
      <c r="C266" s="13" t="s">
        <v>11</v>
      </c>
      <c r="D266" s="14"/>
      <c r="E266" s="9">
        <v>71.3</v>
      </c>
      <c r="F266" s="9">
        <f>D266*E266</f>
        <v>0</v>
      </c>
      <c r="G266" s="13"/>
      <c r="H266" s="14" t="str">
        <f>HYPERLINK("https://pulti.ua/tv/pult-dlja-jvc-rm-c90-ic")</f>
        <v>https://pulti.ua/tv/pult-dlja-jvc-rm-c90-ic</v>
      </c>
    </row>
    <row r="267" spans="1:8" s="18" customFormat="1" ht="15" customHeight="1">
      <c r="A267" s="39">
        <v>4262</v>
      </c>
      <c r="B267" s="26" t="s">
        <v>246</v>
      </c>
      <c r="C267" s="13" t="s">
        <v>14</v>
      </c>
      <c r="D267" s="14"/>
      <c r="E267" s="9">
        <v>67.5</v>
      </c>
      <c r="F267" s="9">
        <f>D267*E267</f>
        <v>0</v>
      </c>
      <c r="G267" s="13"/>
      <c r="H267" s="14" t="str">
        <f>HYPERLINK("https://pulti.ua/tv/pult-dlya-kivi-32hx10s")</f>
        <v>https://pulti.ua/tv/pult-dlya-kivi-32hx10s</v>
      </c>
    </row>
    <row r="268" spans="1:8" s="18" customFormat="1" ht="15" customHeight="1">
      <c r="A268" s="11">
        <v>4557</v>
      </c>
      <c r="B268" s="12" t="s">
        <v>1337</v>
      </c>
      <c r="C268" s="13" t="s">
        <v>14</v>
      </c>
      <c r="D268" s="15" t="s">
        <v>1338</v>
      </c>
      <c r="E268" s="9"/>
      <c r="F268" s="9"/>
      <c r="G268" s="13"/>
      <c r="H268" s="14" t="str">
        <f>HYPERLINK("https://pulti.ua/tv/originalnyj-pult-kivi-rc20-s-mikrofonom")</f>
        <v>https://pulti.ua/tv/originalnyj-pult-kivi-rc20-s-mikrofonom</v>
      </c>
    </row>
    <row r="269" spans="1:8" s="18" customFormat="1" ht="15" customHeight="1">
      <c r="A269" s="42">
        <v>4834</v>
      </c>
      <c r="B269" s="43" t="s">
        <v>1339</v>
      </c>
      <c r="C269" s="13" t="s">
        <v>14</v>
      </c>
      <c r="D269" s="15" t="s">
        <v>1314</v>
      </c>
      <c r="E269" s="9">
        <v>168.8</v>
      </c>
      <c r="F269" s="9"/>
      <c r="G269" s="13"/>
      <c r="H269" s="14" t="str">
        <f>HYPERLINK("https://pulti.ua/tv/pult-dlya-kivi-rc79-24hb50br")</f>
        <v>https://pulti.ua/tv/pult-dlya-kivi-rc79-24hb50br</v>
      </c>
    </row>
    <row r="270" spans="1:8" s="18" customFormat="1" ht="15" customHeight="1">
      <c r="A270" s="39">
        <v>4526</v>
      </c>
      <c r="B270" s="26" t="s">
        <v>1340</v>
      </c>
      <c r="C270" s="13" t="s">
        <v>14</v>
      </c>
      <c r="D270" s="14"/>
      <c r="E270" s="9">
        <v>131.3</v>
      </c>
      <c r="F270" s="9">
        <f aca="true" t="shared" si="8" ref="F270:F284">D270*E270</f>
        <v>0</v>
      </c>
      <c r="G270" s="13"/>
      <c r="H270" s="14" t="str">
        <f>HYPERLINK("https://pulti.ua/tv/pult-dlya-kivi-rc80-ir")</f>
        <v>https://pulti.ua/tv/pult-dlya-kivi-rc80-ir</v>
      </c>
    </row>
    <row r="271" spans="1:8" s="18" customFormat="1" ht="15" customHeight="1">
      <c r="A271" s="11">
        <v>2692</v>
      </c>
      <c r="B271" s="12" t="s">
        <v>247</v>
      </c>
      <c r="C271" s="13" t="s">
        <v>11</v>
      </c>
      <c r="D271" s="14"/>
      <c r="E271" s="9">
        <v>63.8</v>
      </c>
      <c r="F271" s="9">
        <f t="shared" si="8"/>
        <v>0</v>
      </c>
      <c r="G271" s="13"/>
      <c r="H271" s="14" t="str">
        <f>HYPERLINK("https://pulti.ua/tv/pult-dlja-konka-1428")</f>
        <v>https://pulti.ua/tv/pult-dlja-konka-1428</v>
      </c>
    </row>
    <row r="272" spans="1:8" s="18" customFormat="1" ht="15" customHeight="1">
      <c r="A272" s="11">
        <v>2697</v>
      </c>
      <c r="B272" s="12" t="s">
        <v>248</v>
      </c>
      <c r="C272" s="13" t="s">
        <v>11</v>
      </c>
      <c r="D272" s="14"/>
      <c r="E272" s="9">
        <v>56.3</v>
      </c>
      <c r="F272" s="9">
        <f t="shared" si="8"/>
        <v>0</v>
      </c>
      <c r="G272" s="13"/>
      <c r="H272" s="14" t="str">
        <f>HYPERLINK("https://pulti.ua/tv/pult-dlja-konka-5zk7a")</f>
        <v>https://pulti.ua/tv/pult-dlja-konka-5zk7a</v>
      </c>
    </row>
    <row r="273" spans="1:8" s="18" customFormat="1" ht="15" customHeight="1">
      <c r="A273" s="11">
        <v>2695</v>
      </c>
      <c r="B273" s="12" t="s">
        <v>249</v>
      </c>
      <c r="C273" s="13" t="s">
        <v>11</v>
      </c>
      <c r="D273" s="14"/>
      <c r="E273" s="9">
        <v>48.8</v>
      </c>
      <c r="F273" s="9">
        <f t="shared" si="8"/>
        <v>0</v>
      </c>
      <c r="G273" s="13"/>
      <c r="H273" s="14" t="str">
        <f>HYPERLINK("https://pulti.ua/tv/pult-dlja-konka-5y29")</f>
        <v>https://pulti.ua/tv/pult-dlja-konka-5y29</v>
      </c>
    </row>
    <row r="274" spans="1:8" s="18" customFormat="1" ht="15" customHeight="1">
      <c r="A274" s="39">
        <v>2699</v>
      </c>
      <c r="B274" s="26" t="s">
        <v>250</v>
      </c>
      <c r="C274" s="13" t="s">
        <v>11</v>
      </c>
      <c r="D274" s="14"/>
      <c r="E274" s="9">
        <v>78.8</v>
      </c>
      <c r="F274" s="9">
        <f t="shared" si="8"/>
        <v>0</v>
      </c>
      <c r="G274" s="13"/>
      <c r="H274" s="14" t="str">
        <f>HYPERLINK("https://pulti.ua/tv/pult-dlja-konka-hot393")</f>
        <v>https://pulti.ua/tv/pult-dlja-konka-hot393</v>
      </c>
    </row>
    <row r="275" spans="1:8" s="18" customFormat="1" ht="15" customHeight="1">
      <c r="A275" s="11">
        <v>2710</v>
      </c>
      <c r="B275" s="12" t="s">
        <v>251</v>
      </c>
      <c r="C275" s="13" t="s">
        <v>11</v>
      </c>
      <c r="D275" s="14"/>
      <c r="E275" s="9">
        <v>61.9</v>
      </c>
      <c r="F275" s="9">
        <f t="shared" si="8"/>
        <v>0</v>
      </c>
      <c r="G275" s="13"/>
      <c r="H275" s="14" t="str">
        <f>HYPERLINK("https://pulti.ua/tv/pult-dlja-konka-osd")</f>
        <v>https://pulti.ua/tv/pult-dlja-konka-osd</v>
      </c>
    </row>
    <row r="276" spans="1:8" s="18" customFormat="1" ht="15" customHeight="1">
      <c r="A276" s="39">
        <v>2705</v>
      </c>
      <c r="B276" s="26" t="s">
        <v>252</v>
      </c>
      <c r="C276" s="13" t="s">
        <v>11</v>
      </c>
      <c r="D276" s="14"/>
      <c r="E276" s="9">
        <v>71.3</v>
      </c>
      <c r="F276" s="9">
        <f t="shared" si="8"/>
        <v>0</v>
      </c>
      <c r="G276" s="13"/>
      <c r="H276" s="14" t="str">
        <f>HYPERLINK("https://pulti.ua/tv/pult-dlja-konka-kk-y229-ic")</f>
        <v>https://pulti.ua/tv/pult-dlja-konka-kk-y229-ic</v>
      </c>
    </row>
    <row r="277" spans="1:8" s="18" customFormat="1" ht="15" customHeight="1">
      <c r="A277" s="39">
        <v>2706</v>
      </c>
      <c r="B277" s="26" t="s">
        <v>253</v>
      </c>
      <c r="C277" s="13" t="s">
        <v>11</v>
      </c>
      <c r="D277" s="14"/>
      <c r="E277" s="9">
        <v>101.3</v>
      </c>
      <c r="F277" s="9">
        <f t="shared" si="8"/>
        <v>0</v>
      </c>
      <c r="G277" s="13"/>
      <c r="H277" s="14" t="str">
        <f>HYPERLINK("https://pulti.ua/tv/pult-dlja-konka-kk-y250e")</f>
        <v>https://pulti.ua/tv/pult-dlja-konka-kk-y250e</v>
      </c>
    </row>
    <row r="278" spans="1:8" s="18" customFormat="1" ht="15" customHeight="1">
      <c r="A278" s="11">
        <v>2708</v>
      </c>
      <c r="B278" s="12" t="s">
        <v>254</v>
      </c>
      <c r="C278" s="13" t="s">
        <v>11</v>
      </c>
      <c r="D278" s="14"/>
      <c r="E278" s="9">
        <v>90</v>
      </c>
      <c r="F278" s="9">
        <f t="shared" si="8"/>
        <v>0</v>
      </c>
      <c r="G278" s="13"/>
      <c r="H278" s="14" t="str">
        <f>HYPERLINK("https://pulti.ua/tv/pult-dlja-konka-kk-y267b")</f>
        <v>https://pulti.ua/tv/pult-dlja-konka-kk-y267b</v>
      </c>
    </row>
    <row r="279" spans="1:8" s="18" customFormat="1" ht="15" customHeight="1">
      <c r="A279" s="11">
        <v>2709</v>
      </c>
      <c r="B279" s="12" t="s">
        <v>255</v>
      </c>
      <c r="C279" s="13" t="s">
        <v>22</v>
      </c>
      <c r="D279" s="14"/>
      <c r="E279" s="9">
        <v>90</v>
      </c>
      <c r="F279" s="9">
        <f t="shared" si="8"/>
        <v>0</v>
      </c>
      <c r="G279" s="13"/>
      <c r="H279" s="14" t="str">
        <f>HYPERLINK("https://pulti.ua/tv/pult-dlja-konka-lcd-china-tv")</f>
        <v>https://pulti.ua/tv/pult-dlja-konka-lcd-china-tv</v>
      </c>
    </row>
    <row r="280" spans="1:8" s="18" customFormat="1" ht="15" customHeight="1">
      <c r="A280" s="11">
        <v>2711</v>
      </c>
      <c r="B280" s="12" t="s">
        <v>256</v>
      </c>
      <c r="C280" s="13" t="s">
        <v>11</v>
      </c>
      <c r="D280" s="14"/>
      <c r="E280" s="9">
        <v>67.5</v>
      </c>
      <c r="F280" s="9">
        <f t="shared" si="8"/>
        <v>0</v>
      </c>
      <c r="G280" s="13"/>
      <c r="H280" s="14" t="str">
        <f>HYPERLINK("https://pulti.ua/tv/pult-dlja-konka-osdplussyspluspicplus1-rjad")</f>
        <v>https://pulti.ua/tv/pult-dlja-konka-osdplussyspluspicplus1-rjad</v>
      </c>
    </row>
    <row r="281" spans="1:8" s="18" customFormat="1" ht="15" customHeight="1">
      <c r="A281" s="11">
        <v>1285</v>
      </c>
      <c r="B281" s="12" t="s">
        <v>257</v>
      </c>
      <c r="C281" s="13" t="s">
        <v>11</v>
      </c>
      <c r="D281" s="14"/>
      <c r="E281" s="9">
        <v>67.5</v>
      </c>
      <c r="F281" s="9">
        <f t="shared" si="8"/>
        <v>0</v>
      </c>
      <c r="G281" s="13"/>
      <c r="H281" s="14" t="str">
        <f>HYPERLINK("https://pulti.ua/tv/pult-dlja-lg-105-224f")</f>
        <v>https://pulti.ua/tv/pult-dlja-lg-105-224f</v>
      </c>
    </row>
    <row r="282" spans="1:8" s="18" customFormat="1" ht="15" customHeight="1">
      <c r="A282" s="11">
        <v>1286</v>
      </c>
      <c r="B282" s="12" t="s">
        <v>258</v>
      </c>
      <c r="C282" s="13" t="s">
        <v>11</v>
      </c>
      <c r="D282" s="14"/>
      <c r="E282" s="9">
        <v>60</v>
      </c>
      <c r="F282" s="9">
        <f t="shared" si="8"/>
        <v>0</v>
      </c>
      <c r="G282" s="13"/>
      <c r="H282" s="14" t="str">
        <f>HYPERLINK("https://pulti.ua/tv/pult-dlja-lg-105-224p")</f>
        <v>https://pulti.ua/tv/pult-dlja-lg-105-224p</v>
      </c>
    </row>
    <row r="283" spans="1:8" s="18" customFormat="1" ht="15" customHeight="1">
      <c r="A283" s="11">
        <v>1287</v>
      </c>
      <c r="B283" s="12" t="s">
        <v>259</v>
      </c>
      <c r="C283" s="13" t="s">
        <v>11</v>
      </c>
      <c r="D283" s="14"/>
      <c r="E283" s="9">
        <v>45</v>
      </c>
      <c r="F283" s="9">
        <f t="shared" si="8"/>
        <v>0</v>
      </c>
      <c r="G283" s="13"/>
      <c r="H283" s="14" t="str">
        <f>HYPERLINK("https://pulti.ua/tv/pult-dlja-lg-105-229y")</f>
        <v>https://pulti.ua/tv/pult-dlja-lg-105-229y</v>
      </c>
    </row>
    <row r="284" spans="1:8" s="18" customFormat="1" ht="15" customHeight="1">
      <c r="A284" s="11">
        <v>1289</v>
      </c>
      <c r="B284" s="12" t="s">
        <v>260</v>
      </c>
      <c r="C284" s="13" t="s">
        <v>11</v>
      </c>
      <c r="D284" s="14"/>
      <c r="E284" s="9">
        <v>46.9</v>
      </c>
      <c r="F284" s="9">
        <f t="shared" si="8"/>
        <v>0</v>
      </c>
      <c r="G284" s="13"/>
      <c r="H284" s="14" t="str">
        <f>HYPERLINK("https://pulti.ua/tv/pult-dlja-lg-105-230m")</f>
        <v>https://pulti.ua/tv/pult-dlja-lg-105-230m</v>
      </c>
    </row>
    <row r="285" spans="1:8" s="18" customFormat="1" ht="15" customHeight="1">
      <c r="A285" s="39">
        <v>2776</v>
      </c>
      <c r="B285" s="26" t="s">
        <v>261</v>
      </c>
      <c r="C285" s="13" t="s">
        <v>11</v>
      </c>
      <c r="D285" s="15" t="s">
        <v>1314</v>
      </c>
      <c r="E285" s="9">
        <v>52.5</v>
      </c>
      <c r="F285" s="9"/>
      <c r="G285" s="13"/>
      <c r="H285" s="14" t="str">
        <f>HYPERLINK("https://pulti.ua/tv/pult-dlja-lg-105-230m-ic")</f>
        <v>https://pulti.ua/tv/pult-dlja-lg-105-230m-ic</v>
      </c>
    </row>
    <row r="286" spans="1:8" s="18" customFormat="1" ht="15" customHeight="1">
      <c r="A286" s="11">
        <v>1291</v>
      </c>
      <c r="B286" s="12" t="s">
        <v>262</v>
      </c>
      <c r="C286" s="13" t="s">
        <v>22</v>
      </c>
      <c r="D286" s="14"/>
      <c r="E286" s="9">
        <v>153.8</v>
      </c>
      <c r="F286" s="9">
        <f aca="true" t="shared" si="9" ref="F286:F318">D286*E286</f>
        <v>0</v>
      </c>
      <c r="G286" s="13"/>
      <c r="H286" s="14" t="str">
        <f>HYPERLINK("https://pulti.ua/tv/pult-dlja-lg-6710900010e")</f>
        <v>https://pulti.ua/tv/pult-dlja-lg-6710900010e</v>
      </c>
    </row>
    <row r="287" spans="1:8" s="18" customFormat="1" ht="15" customHeight="1">
      <c r="A287" s="39">
        <v>1293</v>
      </c>
      <c r="B287" s="26" t="s">
        <v>263</v>
      </c>
      <c r="C287" s="13" t="s">
        <v>22</v>
      </c>
      <c r="D287" s="14"/>
      <c r="E287" s="9">
        <v>255</v>
      </c>
      <c r="F287" s="9">
        <f t="shared" si="9"/>
        <v>0</v>
      </c>
      <c r="G287" s="13"/>
      <c r="H287" s="14" t="str">
        <f>HYPERLINK("https://pulti.ua/tv/pult-dlja-lg-6710900019f")</f>
        <v>https://pulti.ua/tv/pult-dlja-lg-6710900019f</v>
      </c>
    </row>
    <row r="288" spans="1:8" s="18" customFormat="1" ht="15" customHeight="1">
      <c r="A288" s="39">
        <v>1294</v>
      </c>
      <c r="B288" s="26" t="s">
        <v>264</v>
      </c>
      <c r="C288" s="13" t="s">
        <v>22</v>
      </c>
      <c r="D288" s="14"/>
      <c r="E288" s="9">
        <v>56.3</v>
      </c>
      <c r="F288" s="9">
        <f t="shared" si="9"/>
        <v>0</v>
      </c>
      <c r="G288" s="13"/>
      <c r="H288" s="14" t="str">
        <f>HYPERLINK("https://pulti.ua/tv/pult-dlja-lg-6710t00008b")</f>
        <v>https://pulti.ua/tv/pult-dlja-lg-6710t00008b</v>
      </c>
    </row>
    <row r="289" spans="1:8" s="18" customFormat="1" ht="15" customHeight="1">
      <c r="A289" s="11">
        <v>1296</v>
      </c>
      <c r="B289" s="12" t="s">
        <v>265</v>
      </c>
      <c r="C289" s="13" t="s">
        <v>22</v>
      </c>
      <c r="D289" s="14"/>
      <c r="E289" s="9">
        <v>93.8</v>
      </c>
      <c r="F289" s="9">
        <f t="shared" si="9"/>
        <v>0</v>
      </c>
      <c r="G289" s="13"/>
      <c r="H289" s="14" t="str">
        <f>HYPERLINK("https://pulti.ua/tv/pult-dlja-lg-6710t00126r")</f>
        <v>https://pulti.ua/tv/pult-dlja-lg-6710t00126r</v>
      </c>
    </row>
    <row r="290" spans="1:8" s="18" customFormat="1" ht="15" customHeight="1">
      <c r="A290" s="39">
        <v>1298</v>
      </c>
      <c r="B290" s="26" t="s">
        <v>266</v>
      </c>
      <c r="C290" s="13" t="s">
        <v>22</v>
      </c>
      <c r="D290" s="14"/>
      <c r="E290" s="9">
        <v>273.8</v>
      </c>
      <c r="F290" s="9">
        <f t="shared" si="9"/>
        <v>0</v>
      </c>
      <c r="G290" s="13"/>
      <c r="H290" s="14" t="str">
        <f>HYPERLINK("https://pulti.ua/tv/pult-dlja-lg-6710t00141k")</f>
        <v>https://pulti.ua/tv/pult-dlja-lg-6710t00141k</v>
      </c>
    </row>
    <row r="291" spans="1:8" s="18" customFormat="1" ht="15" customHeight="1">
      <c r="A291" s="11">
        <v>1300</v>
      </c>
      <c r="B291" s="12" t="s">
        <v>267</v>
      </c>
      <c r="C291" s="13" t="s">
        <v>11</v>
      </c>
      <c r="D291" s="14"/>
      <c r="E291" s="9">
        <v>60</v>
      </c>
      <c r="F291" s="9">
        <f t="shared" si="9"/>
        <v>0</v>
      </c>
      <c r="G291" s="13"/>
      <c r="H291" s="14" t="str">
        <f>HYPERLINK("https://pulti.ua/tv/pult-dlja-lg-6710v00007a")</f>
        <v>https://pulti.ua/tv/pult-dlja-lg-6710v00007a</v>
      </c>
    </row>
    <row r="292" spans="1:8" s="18" customFormat="1" ht="15" customHeight="1">
      <c r="A292" s="11">
        <v>1301</v>
      </c>
      <c r="B292" s="12" t="s">
        <v>268</v>
      </c>
      <c r="C292" s="13" t="s">
        <v>11</v>
      </c>
      <c r="D292" s="14"/>
      <c r="E292" s="9">
        <v>65.6</v>
      </c>
      <c r="F292" s="9">
        <f t="shared" si="9"/>
        <v>0</v>
      </c>
      <c r="G292" s="13"/>
      <c r="H292" s="14" t="str">
        <f>HYPERLINK("https://pulti.ua/tv/pult-dlja-lg-6710v00008a")</f>
        <v>https://pulti.ua/tv/pult-dlja-lg-6710v00008a</v>
      </c>
    </row>
    <row r="293" spans="1:8" s="18" customFormat="1" ht="15" customHeight="1">
      <c r="A293" s="11">
        <v>1302</v>
      </c>
      <c r="B293" s="12" t="s">
        <v>269</v>
      </c>
      <c r="C293" s="13" t="s">
        <v>11</v>
      </c>
      <c r="D293" s="14"/>
      <c r="E293" s="9">
        <v>43.1</v>
      </c>
      <c r="F293" s="9">
        <f t="shared" si="9"/>
        <v>0</v>
      </c>
      <c r="G293" s="13"/>
      <c r="H293" s="14" t="str">
        <f>HYPERLINK("https://pulti.ua/tv/pult-dlja-lg-6710v00017e")</f>
        <v>https://pulti.ua/tv/pult-dlja-lg-6710v00017e</v>
      </c>
    </row>
    <row r="294" spans="1:8" s="18" customFormat="1" ht="15" customHeight="1">
      <c r="A294" s="11">
        <v>1303</v>
      </c>
      <c r="B294" s="12" t="s">
        <v>270</v>
      </c>
      <c r="C294" s="13" t="s">
        <v>11</v>
      </c>
      <c r="D294" s="14"/>
      <c r="E294" s="9">
        <v>43.1</v>
      </c>
      <c r="F294" s="9">
        <f t="shared" si="9"/>
        <v>0</v>
      </c>
      <c r="G294" s="13"/>
      <c r="H294" s="14" t="str">
        <f>HYPERLINK("https://pulti.ua/tv/pult-dlja-lg-6710v00017f")</f>
        <v>https://pulti.ua/tv/pult-dlja-lg-6710v00017f</v>
      </c>
    </row>
    <row r="295" spans="1:8" s="18" customFormat="1" ht="15" customHeight="1">
      <c r="A295" s="11">
        <v>1306</v>
      </c>
      <c r="B295" s="12" t="s">
        <v>271</v>
      </c>
      <c r="C295" s="13" t="s">
        <v>11</v>
      </c>
      <c r="D295" s="14"/>
      <c r="E295" s="9">
        <v>50.6</v>
      </c>
      <c r="F295" s="9">
        <f t="shared" si="9"/>
        <v>0</v>
      </c>
      <c r="G295" s="13"/>
      <c r="H295" s="14" t="str">
        <f>HYPERLINK("https://pulti.ua/tv/pult-dlja-lg-6710v00017h")</f>
        <v>https://pulti.ua/tv/pult-dlja-lg-6710v00017h</v>
      </c>
    </row>
    <row r="296" spans="1:8" s="18" customFormat="1" ht="15" customHeight="1">
      <c r="A296" s="11">
        <v>1311</v>
      </c>
      <c r="B296" s="12" t="s">
        <v>272</v>
      </c>
      <c r="C296" s="13" t="s">
        <v>11</v>
      </c>
      <c r="D296" s="14"/>
      <c r="E296" s="9">
        <v>50.6</v>
      </c>
      <c r="F296" s="9">
        <f t="shared" si="9"/>
        <v>0</v>
      </c>
      <c r="G296" s="13"/>
      <c r="H296" s="14" t="str">
        <f>HYPERLINK("https://pulti.ua/tv/pult-dlja-lg-6710v00070a")</f>
        <v>https://pulti.ua/tv/pult-dlja-lg-6710v00070a</v>
      </c>
    </row>
    <row r="297" spans="1:8" s="18" customFormat="1" ht="15" customHeight="1">
      <c r="A297" s="39">
        <v>2777</v>
      </c>
      <c r="B297" s="26" t="s">
        <v>273</v>
      </c>
      <c r="C297" s="13" t="s">
        <v>11</v>
      </c>
      <c r="D297" s="14"/>
      <c r="E297" s="9">
        <v>58.1</v>
      </c>
      <c r="F297" s="9">
        <f t="shared" si="9"/>
        <v>0</v>
      </c>
      <c r="G297" s="13"/>
      <c r="H297" s="14" t="str">
        <f>HYPERLINK("https://pulti.ua/tv/pult-dlja-lg-6710v00070a-ic")</f>
        <v>https://pulti.ua/tv/pult-dlja-lg-6710v00070a-ic</v>
      </c>
    </row>
    <row r="298" spans="1:8" s="18" customFormat="1" ht="15" customHeight="1">
      <c r="A298" s="11">
        <v>1313</v>
      </c>
      <c r="B298" s="12" t="s">
        <v>274</v>
      </c>
      <c r="C298" s="13" t="s">
        <v>11</v>
      </c>
      <c r="D298" s="14"/>
      <c r="E298" s="9">
        <v>50.6</v>
      </c>
      <c r="F298" s="9">
        <f t="shared" si="9"/>
        <v>0</v>
      </c>
      <c r="G298" s="13"/>
      <c r="H298" s="14" t="str">
        <f>HYPERLINK("https://pulti.ua/tv/pult-dlja-lg-6710v00070b")</f>
        <v>https://pulti.ua/tv/pult-dlja-lg-6710v00070b</v>
      </c>
    </row>
    <row r="299" spans="1:8" s="18" customFormat="1" ht="15" customHeight="1">
      <c r="A299" s="11">
        <v>1320</v>
      </c>
      <c r="B299" s="12" t="s">
        <v>275</v>
      </c>
      <c r="C299" s="13" t="s">
        <v>11</v>
      </c>
      <c r="D299" s="14"/>
      <c r="E299" s="9">
        <v>50.6</v>
      </c>
      <c r="F299" s="9">
        <f t="shared" si="9"/>
        <v>0</v>
      </c>
      <c r="G299" s="13"/>
      <c r="H299" s="14" t="str">
        <f>HYPERLINK("https://pulti.ua/tv/pult-dlja-lg-6710v00090a")</f>
        <v>https://pulti.ua/tv/pult-dlja-lg-6710v00090a</v>
      </c>
    </row>
    <row r="300" spans="1:8" s="18" customFormat="1" ht="15" customHeight="1">
      <c r="A300" s="39">
        <v>2780</v>
      </c>
      <c r="B300" s="26" t="s">
        <v>276</v>
      </c>
      <c r="C300" s="13" t="s">
        <v>11</v>
      </c>
      <c r="D300" s="14"/>
      <c r="E300" s="9">
        <v>54.8</v>
      </c>
      <c r="F300" s="9">
        <f t="shared" si="9"/>
        <v>0</v>
      </c>
      <c r="G300" s="13"/>
      <c r="H300" s="14" t="str">
        <f>HYPERLINK("https://pulti.ua/tv/pult-dlja-lg-6710v00090a-ic")</f>
        <v>https://pulti.ua/tv/pult-dlja-lg-6710v00090a-ic</v>
      </c>
    </row>
    <row r="301" spans="1:8" s="18" customFormat="1" ht="15" customHeight="1">
      <c r="A301" s="11">
        <v>1323</v>
      </c>
      <c r="B301" s="12" t="s">
        <v>277</v>
      </c>
      <c r="C301" s="13" t="s">
        <v>11</v>
      </c>
      <c r="D301" s="14"/>
      <c r="E301" s="9">
        <v>52.5</v>
      </c>
      <c r="F301" s="9">
        <f t="shared" si="9"/>
        <v>0</v>
      </c>
      <c r="G301" s="13"/>
      <c r="H301" s="14" t="str">
        <f>HYPERLINK("https://pulti.ua/tv/pult-dlja-lg-6710v00090b")</f>
        <v>https://pulti.ua/tv/pult-dlja-lg-6710v00090b</v>
      </c>
    </row>
    <row r="302" spans="1:8" s="18" customFormat="1" ht="15" customHeight="1">
      <c r="A302" s="11">
        <v>1324</v>
      </c>
      <c r="B302" s="12" t="s">
        <v>278</v>
      </c>
      <c r="C302" s="13" t="s">
        <v>11</v>
      </c>
      <c r="D302" s="14"/>
      <c r="E302" s="9">
        <v>50.3</v>
      </c>
      <c r="F302" s="9">
        <f t="shared" si="9"/>
        <v>0</v>
      </c>
      <c r="G302" s="13"/>
      <c r="H302" s="14" t="str">
        <f>HYPERLINK("https://pulti.ua/tv/pult-dlja-lg-6710v00090d")</f>
        <v>https://pulti.ua/tv/pult-dlja-lg-6710v00090d</v>
      </c>
    </row>
    <row r="303" spans="1:8" s="18" customFormat="1" ht="15" customHeight="1">
      <c r="A303" s="39">
        <v>2781</v>
      </c>
      <c r="B303" s="26" t="s">
        <v>279</v>
      </c>
      <c r="C303" s="13" t="s">
        <v>11</v>
      </c>
      <c r="D303" s="14"/>
      <c r="E303" s="9">
        <v>54.8</v>
      </c>
      <c r="F303" s="9">
        <f t="shared" si="9"/>
        <v>0</v>
      </c>
      <c r="G303" s="13"/>
      <c r="H303" s="14" t="str">
        <f>HYPERLINK("https://pulti.ua/tv/pult-dlja-lg-6710v00090d-ic")</f>
        <v>https://pulti.ua/tv/pult-dlja-lg-6710v00090d-ic</v>
      </c>
    </row>
    <row r="304" spans="1:8" s="18" customFormat="1" ht="15" customHeight="1">
      <c r="A304" s="11">
        <v>1326</v>
      </c>
      <c r="B304" s="12" t="s">
        <v>280</v>
      </c>
      <c r="C304" s="13" t="s">
        <v>11</v>
      </c>
      <c r="D304" s="14"/>
      <c r="E304" s="9">
        <v>52.5</v>
      </c>
      <c r="F304" s="9">
        <f t="shared" si="9"/>
        <v>0</v>
      </c>
      <c r="G304" s="13"/>
      <c r="H304" s="14" t="str">
        <f>HYPERLINK("https://pulti.ua/tv/pult-dlja-lg-6710v00090f")</f>
        <v>https://pulti.ua/tv/pult-dlja-lg-6710v00090f</v>
      </c>
    </row>
    <row r="305" spans="1:8" s="18" customFormat="1" ht="15" customHeight="1">
      <c r="A305" s="11">
        <v>1328</v>
      </c>
      <c r="B305" s="12" t="s">
        <v>281</v>
      </c>
      <c r="C305" s="13" t="s">
        <v>11</v>
      </c>
      <c r="D305" s="14"/>
      <c r="E305" s="9">
        <v>67.5</v>
      </c>
      <c r="F305" s="9">
        <f t="shared" si="9"/>
        <v>0</v>
      </c>
      <c r="G305" s="13"/>
      <c r="H305" s="14" t="str">
        <f>HYPERLINK("https://pulti.ua/tv/pult-dlja-lg-6710v000112p")</f>
        <v>https://pulti.ua/tv/pult-dlja-lg-6710v000112p</v>
      </c>
    </row>
    <row r="306" spans="1:8" s="18" customFormat="1" ht="15" customHeight="1">
      <c r="A306" s="11">
        <v>1329</v>
      </c>
      <c r="B306" s="12" t="s">
        <v>282</v>
      </c>
      <c r="C306" s="13" t="s">
        <v>11</v>
      </c>
      <c r="D306" s="14"/>
      <c r="E306" s="9">
        <v>61.9</v>
      </c>
      <c r="F306" s="9">
        <f t="shared" si="9"/>
        <v>0</v>
      </c>
      <c r="G306" s="13"/>
      <c r="H306" s="14" t="str">
        <f>HYPERLINK("https://pulti.ua/tv/pult-dlja-lg-6710v000112q")</f>
        <v>https://pulti.ua/tv/pult-dlja-lg-6710v000112q</v>
      </c>
    </row>
    <row r="307" spans="1:8" s="18" customFormat="1" ht="15" customHeight="1">
      <c r="A307" s="11">
        <v>1330</v>
      </c>
      <c r="B307" s="12" t="s">
        <v>283</v>
      </c>
      <c r="C307" s="13" t="s">
        <v>11</v>
      </c>
      <c r="D307" s="14"/>
      <c r="E307" s="9">
        <v>56.3</v>
      </c>
      <c r="F307" s="9">
        <f t="shared" si="9"/>
        <v>0</v>
      </c>
      <c r="G307" s="13"/>
      <c r="H307" s="14" t="str">
        <f>HYPERLINK("https://pulti.ua/tv/pult-dlja-lg-6710v000112v")</f>
        <v>https://pulti.ua/tv/pult-dlja-lg-6710v000112v</v>
      </c>
    </row>
    <row r="308" spans="1:8" s="18" customFormat="1" ht="15" customHeight="1">
      <c r="A308" s="39">
        <v>2789</v>
      </c>
      <c r="B308" s="26" t="s">
        <v>284</v>
      </c>
      <c r="C308" s="13" t="s">
        <v>11</v>
      </c>
      <c r="D308" s="14"/>
      <c r="E308" s="9">
        <v>60</v>
      </c>
      <c r="F308" s="9">
        <f t="shared" si="9"/>
        <v>0</v>
      </c>
      <c r="G308" s="13"/>
      <c r="H308" s="14" t="str">
        <f>HYPERLINK("https://pulti.ua/tv/pult-dlja-lg-6710v000112v-ic")</f>
        <v>https://pulti.ua/tv/pult-dlja-lg-6710v000112v-ic</v>
      </c>
    </row>
    <row r="309" spans="1:8" s="18" customFormat="1" ht="15" customHeight="1">
      <c r="A309" s="11">
        <v>1332</v>
      </c>
      <c r="B309" s="12" t="s">
        <v>285</v>
      </c>
      <c r="C309" s="13" t="s">
        <v>11</v>
      </c>
      <c r="D309" s="14"/>
      <c r="E309" s="9">
        <v>50.6</v>
      </c>
      <c r="F309" s="9">
        <f t="shared" si="9"/>
        <v>0</v>
      </c>
      <c r="G309" s="13"/>
      <c r="H309" s="14" t="str">
        <f>HYPERLINK("https://pulti.ua/tv/pult-dlja-lg-6710v000124d")</f>
        <v>https://pulti.ua/tv/pult-dlja-lg-6710v000124d</v>
      </c>
    </row>
    <row r="310" spans="1:8" s="18" customFormat="1" ht="15" customHeight="1">
      <c r="A310" s="39">
        <v>2787</v>
      </c>
      <c r="B310" s="26" t="s">
        <v>286</v>
      </c>
      <c r="C310" s="13" t="s">
        <v>11</v>
      </c>
      <c r="D310" s="14"/>
      <c r="E310" s="9">
        <v>54.4</v>
      </c>
      <c r="F310" s="9">
        <f t="shared" si="9"/>
        <v>0</v>
      </c>
      <c r="G310" s="13"/>
      <c r="H310" s="14" t="str">
        <f>HYPERLINK("https://pulti.ua/tv/pult-dlja-lg-6710v000124d-ic")</f>
        <v>https://pulti.ua/tv/pult-dlja-lg-6710v000124d-ic</v>
      </c>
    </row>
    <row r="311" spans="1:8" s="18" customFormat="1" ht="15" customHeight="1">
      <c r="A311" s="39">
        <v>2788</v>
      </c>
      <c r="B311" s="26" t="s">
        <v>287</v>
      </c>
      <c r="C311" s="13" t="s">
        <v>11</v>
      </c>
      <c r="D311" s="14"/>
      <c r="E311" s="9">
        <v>52.5</v>
      </c>
      <c r="F311" s="9">
        <f t="shared" si="9"/>
        <v>0</v>
      </c>
      <c r="G311" s="13"/>
      <c r="H311" s="14" t="str">
        <f>HYPERLINK("https://pulti.ua/tv/pult-dlja-lg-6710v000124e-ic")</f>
        <v>https://pulti.ua/tv/pult-dlja-lg-6710v000124e-ic</v>
      </c>
    </row>
    <row r="312" spans="1:8" s="18" customFormat="1" ht="15" customHeight="1">
      <c r="A312" s="11">
        <v>1334</v>
      </c>
      <c r="B312" s="12" t="s">
        <v>288</v>
      </c>
      <c r="C312" s="13" t="s">
        <v>11</v>
      </c>
      <c r="D312" s="14"/>
      <c r="E312" s="9">
        <v>46.5</v>
      </c>
      <c r="F312" s="9">
        <f t="shared" si="9"/>
        <v>0</v>
      </c>
      <c r="G312" s="13"/>
      <c r="H312" s="14" t="str">
        <f>HYPERLINK("https://pulti.ua/tv/pult-dlja-lg-6710v000124e")</f>
        <v>https://pulti.ua/tv/pult-dlja-lg-6710v000124e</v>
      </c>
    </row>
    <row r="313" spans="1:8" s="18" customFormat="1" ht="15" customHeight="1">
      <c r="A313" s="39">
        <v>3390</v>
      </c>
      <c r="B313" s="26" t="s">
        <v>289</v>
      </c>
      <c r="C313" s="13" t="s">
        <v>11</v>
      </c>
      <c r="D313" s="14"/>
      <c r="E313" s="9">
        <v>60</v>
      </c>
      <c r="F313" s="9">
        <f t="shared" si="9"/>
        <v>0</v>
      </c>
      <c r="G313" s="13"/>
      <c r="H313" s="14" t="str">
        <f>HYPERLINK("https://pulti.ua/tv/pult-dlja-lg-6710v00124v")</f>
        <v>https://pulti.ua/tv/pult-dlja-lg-6710v00124v</v>
      </c>
    </row>
    <row r="314" spans="1:8" s="18" customFormat="1" ht="15" customHeight="1">
      <c r="A314" s="39">
        <v>1337</v>
      </c>
      <c r="B314" s="26" t="s">
        <v>290</v>
      </c>
      <c r="C314" s="13" t="s">
        <v>11</v>
      </c>
      <c r="D314" s="14"/>
      <c r="E314" s="9">
        <v>60</v>
      </c>
      <c r="F314" s="9">
        <f t="shared" si="9"/>
        <v>0</v>
      </c>
      <c r="G314" s="13"/>
      <c r="H314" s="14" t="str">
        <f>HYPERLINK("https://pulti.ua/tv/pult-dlja--lg-6710v00124y")</f>
        <v>https://pulti.ua/tv/pult-dlja--lg-6710v00124y</v>
      </c>
    </row>
    <row r="315" spans="1:8" s="18" customFormat="1" ht="15" customHeight="1">
      <c r="A315" s="11">
        <v>1340</v>
      </c>
      <c r="B315" s="12" t="s">
        <v>291</v>
      </c>
      <c r="C315" s="13" t="s">
        <v>11</v>
      </c>
      <c r="D315" s="14"/>
      <c r="E315" s="9">
        <v>56.3</v>
      </c>
      <c r="F315" s="9">
        <f t="shared" si="9"/>
        <v>0</v>
      </c>
      <c r="G315" s="13"/>
      <c r="H315" s="14" t="str">
        <f>HYPERLINK("https://pulti.ua/tv/pult-dlja-lg-6710v00145j")</f>
        <v>https://pulti.ua/tv/pult-dlja-lg-6710v00145j</v>
      </c>
    </row>
    <row r="316" spans="1:8" s="18" customFormat="1" ht="15" customHeight="1">
      <c r="A316" s="39">
        <v>2811</v>
      </c>
      <c r="B316" s="26" t="s">
        <v>292</v>
      </c>
      <c r="C316" s="13" t="s">
        <v>22</v>
      </c>
      <c r="D316" s="14"/>
      <c r="E316" s="9">
        <v>90</v>
      </c>
      <c r="F316" s="9">
        <f t="shared" si="9"/>
        <v>0</v>
      </c>
      <c r="G316" s="13"/>
      <c r="H316" s="14" t="str">
        <f>HYPERLINK("https://pulti.ua/tv/pult-dlja-lg-akb33871407")</f>
        <v>https://pulti.ua/tv/pult-dlja-lg-akb33871407</v>
      </c>
    </row>
    <row r="317" spans="1:8" s="18" customFormat="1" ht="15" customHeight="1">
      <c r="A317" s="39">
        <v>2816</v>
      </c>
      <c r="B317" s="26" t="s">
        <v>293</v>
      </c>
      <c r="C317" s="13" t="s">
        <v>22</v>
      </c>
      <c r="D317" s="14"/>
      <c r="E317" s="9">
        <v>123.8</v>
      </c>
      <c r="F317" s="9">
        <f t="shared" si="9"/>
        <v>0</v>
      </c>
      <c r="G317" s="13"/>
      <c r="H317" s="14" t="str">
        <f>HYPERLINK("https://pulti.ua/tv/pult-dlja-lg-akb33871408")</f>
        <v>https://pulti.ua/tv/pult-dlja-lg-akb33871408</v>
      </c>
    </row>
    <row r="318" spans="1:8" s="18" customFormat="1" ht="15" customHeight="1">
      <c r="A318" s="39">
        <v>2977</v>
      </c>
      <c r="B318" s="26" t="s">
        <v>294</v>
      </c>
      <c r="C318" s="13" t="s">
        <v>295</v>
      </c>
      <c r="D318" s="14"/>
      <c r="E318" s="9">
        <v>90</v>
      </c>
      <c r="F318" s="9">
        <f t="shared" si="9"/>
        <v>0</v>
      </c>
      <c r="G318" s="13"/>
      <c r="H318" s="14" t="str">
        <f>HYPERLINK("https://pulti.ua/tv/pult-dlja-lg-akb33871410")</f>
        <v>https://pulti.ua/tv/pult-dlja-lg-akb33871410</v>
      </c>
    </row>
    <row r="319" spans="1:8" s="18" customFormat="1" ht="15" customHeight="1">
      <c r="A319" s="39">
        <v>1342</v>
      </c>
      <c r="B319" s="26" t="s">
        <v>296</v>
      </c>
      <c r="C319" s="13" t="s">
        <v>22</v>
      </c>
      <c r="D319" s="15" t="s">
        <v>1314</v>
      </c>
      <c r="E319" s="9">
        <v>65.6</v>
      </c>
      <c r="F319" s="9"/>
      <c r="G319" s="13"/>
      <c r="H319" s="14" t="str">
        <f>HYPERLINK("https://pulti.ua/tv/pult-dlja-lg-akb69680403")</f>
        <v>https://pulti.ua/tv/pult-dlja-lg-akb69680403</v>
      </c>
    </row>
    <row r="320" spans="1:8" s="18" customFormat="1" ht="15" customHeight="1">
      <c r="A320" s="11">
        <v>4282</v>
      </c>
      <c r="B320" s="12" t="s">
        <v>297</v>
      </c>
      <c r="C320" s="13" t="s">
        <v>22</v>
      </c>
      <c r="D320" s="14"/>
      <c r="E320" s="9">
        <v>58.1</v>
      </c>
      <c r="F320" s="9">
        <f aca="true" t="shared" si="10" ref="F320:F351">D320*E320</f>
        <v>0</v>
      </c>
      <c r="G320" s="13"/>
      <c r="H320" s="14" t="str">
        <f>HYPERLINK("https://pulti.ua/tv/pult-dlya-lg-akb69680403")</f>
        <v>https://pulti.ua/tv/pult-dlya-lg-akb69680403</v>
      </c>
    </row>
    <row r="321" spans="1:8" s="18" customFormat="1" ht="15" customHeight="1">
      <c r="A321" s="39">
        <v>3310</v>
      </c>
      <c r="B321" s="26" t="s">
        <v>298</v>
      </c>
      <c r="C321" s="13" t="s">
        <v>14</v>
      </c>
      <c r="D321" s="14"/>
      <c r="E321" s="9">
        <v>228.8</v>
      </c>
      <c r="F321" s="9">
        <f t="shared" si="10"/>
        <v>0</v>
      </c>
      <c r="G321" s="13"/>
      <c r="H321" s="14" t="str">
        <f>HYPERLINK("https://pulti.ua/tv/pult-dlja-lg-akb72914018-3d")</f>
        <v>https://pulti.ua/tv/pult-dlja-lg-akb72914018-3d</v>
      </c>
    </row>
    <row r="322" spans="1:8" s="18" customFormat="1" ht="15" customHeight="1">
      <c r="A322" s="39">
        <v>2858</v>
      </c>
      <c r="B322" s="26" t="s">
        <v>299</v>
      </c>
      <c r="C322" s="13" t="s">
        <v>14</v>
      </c>
      <c r="D322" s="14"/>
      <c r="E322" s="9">
        <v>123.8</v>
      </c>
      <c r="F322" s="9">
        <f t="shared" si="10"/>
        <v>0</v>
      </c>
      <c r="G322" s="13"/>
      <c r="H322" s="14" t="str">
        <f>HYPERLINK("https://pulti.ua/tv/pult-dlja-lg-akb72914020---3d")</f>
        <v>https://pulti.ua/tv/pult-dlja-lg-akb72914020---3d</v>
      </c>
    </row>
    <row r="323" spans="1:8" s="18" customFormat="1" ht="15" customHeight="1">
      <c r="A323" s="39">
        <v>3156</v>
      </c>
      <c r="B323" s="26" t="s">
        <v>300</v>
      </c>
      <c r="C323" s="13" t="s">
        <v>22</v>
      </c>
      <c r="D323" s="14"/>
      <c r="E323" s="9">
        <v>228.8</v>
      </c>
      <c r="F323" s="9">
        <f t="shared" si="10"/>
        <v>0</v>
      </c>
      <c r="G323" s="13"/>
      <c r="H323" s="14" t="str">
        <f>HYPERLINK("https://pulti.ua/tv/pult-dlja-lg-akb72914021")</f>
        <v>https://pulti.ua/tv/pult-dlja-lg-akb72914021</v>
      </c>
    </row>
    <row r="324" spans="1:8" s="18" customFormat="1" ht="15" customHeight="1">
      <c r="A324" s="39">
        <v>3157</v>
      </c>
      <c r="B324" s="26" t="s">
        <v>301</v>
      </c>
      <c r="C324" s="13" t="s">
        <v>22</v>
      </c>
      <c r="D324" s="14"/>
      <c r="E324" s="9">
        <v>93.8</v>
      </c>
      <c r="F324" s="9">
        <f t="shared" si="10"/>
        <v>0</v>
      </c>
      <c r="G324" s="13"/>
      <c r="H324" s="14" t="str">
        <f>HYPERLINK("https://pulti.ua/tv/pult-dlja-lg-akb72914208")</f>
        <v>https://pulti.ua/tv/pult-dlja-lg-akb72914208</v>
      </c>
    </row>
    <row r="325" spans="1:8" s="18" customFormat="1" ht="15" customHeight="1">
      <c r="A325" s="39">
        <v>2862</v>
      </c>
      <c r="B325" s="26" t="s">
        <v>302</v>
      </c>
      <c r="C325" s="13" t="s">
        <v>14</v>
      </c>
      <c r="D325" s="14"/>
      <c r="E325" s="9">
        <v>93.8</v>
      </c>
      <c r="F325" s="9">
        <f t="shared" si="10"/>
        <v>0</v>
      </c>
      <c r="G325" s="13"/>
      <c r="H325" s="14" t="str">
        <f>HYPERLINK("https://pulti.ua/tv/pult-dlja-lg-akb72914245---3d")</f>
        <v>https://pulti.ua/tv/pult-dlja-lg-akb72914245---3d</v>
      </c>
    </row>
    <row r="326" spans="1:8" s="18" customFormat="1" ht="15" customHeight="1">
      <c r="A326" s="39">
        <v>3158</v>
      </c>
      <c r="B326" s="26" t="s">
        <v>303</v>
      </c>
      <c r="C326" s="13" t="s">
        <v>22</v>
      </c>
      <c r="D326" s="14"/>
      <c r="E326" s="9">
        <v>93.8</v>
      </c>
      <c r="F326" s="9">
        <f t="shared" si="10"/>
        <v>0</v>
      </c>
      <c r="G326" s="13"/>
      <c r="H326" s="14" t="str">
        <f>HYPERLINK("https://pulti.ua/tv/pult-dlja-lg-akb72914265")</f>
        <v>https://pulti.ua/tv/pult-dlja-lg-akb72914265</v>
      </c>
    </row>
    <row r="327" spans="1:8" s="18" customFormat="1" ht="15" customHeight="1">
      <c r="A327" s="39">
        <v>2821</v>
      </c>
      <c r="B327" s="26" t="s">
        <v>304</v>
      </c>
      <c r="C327" s="13" t="s">
        <v>14</v>
      </c>
      <c r="D327" s="14"/>
      <c r="E327" s="9">
        <v>165</v>
      </c>
      <c r="F327" s="9">
        <f t="shared" si="10"/>
        <v>0</v>
      </c>
      <c r="G327" s="13"/>
      <c r="H327" s="14" t="str">
        <f>HYPERLINK("https://pulti.ua/tv/pult-dlja-lg-akb72914271-3d")</f>
        <v>https://pulti.ua/tv/pult-dlja-lg-akb72914271-3d</v>
      </c>
    </row>
    <row r="328" spans="1:8" s="18" customFormat="1" ht="15" customHeight="1">
      <c r="A328" s="39">
        <v>3312</v>
      </c>
      <c r="B328" s="26" t="s">
        <v>305</v>
      </c>
      <c r="C328" s="13" t="s">
        <v>14</v>
      </c>
      <c r="D328" s="14"/>
      <c r="E328" s="9">
        <v>93.8</v>
      </c>
      <c r="F328" s="9">
        <f t="shared" si="10"/>
        <v>0</v>
      </c>
      <c r="G328" s="13"/>
      <c r="H328" s="14" t="str">
        <f>HYPERLINK("https://pulti.ua/tv/pult-dlja-lg-akb72914278-3d")</f>
        <v>https://pulti.ua/tv/pult-dlja-lg-akb72914278-3d</v>
      </c>
    </row>
    <row r="329" spans="1:8" s="18" customFormat="1" ht="15" customHeight="1">
      <c r="A329" s="39">
        <v>2863</v>
      </c>
      <c r="B329" s="26" t="s">
        <v>306</v>
      </c>
      <c r="C329" s="13" t="s">
        <v>14</v>
      </c>
      <c r="D329" s="14"/>
      <c r="E329" s="9">
        <v>90</v>
      </c>
      <c r="F329" s="9">
        <f t="shared" si="10"/>
        <v>0</v>
      </c>
      <c r="G329" s="13"/>
      <c r="H329" s="14" t="str">
        <f>HYPERLINK("https://pulti.ua/tv/pult-dlja-lg-akb72914293")</f>
        <v>https://pulti.ua/tv/pult-dlja-lg-akb72914293</v>
      </c>
    </row>
    <row r="330" spans="1:8" s="18" customFormat="1" ht="15" customHeight="1">
      <c r="A330" s="39">
        <v>3159</v>
      </c>
      <c r="B330" s="26" t="s">
        <v>307</v>
      </c>
      <c r="C330" s="13" t="s">
        <v>22</v>
      </c>
      <c r="D330" s="14"/>
      <c r="E330" s="9">
        <v>71.3</v>
      </c>
      <c r="F330" s="9">
        <f t="shared" si="10"/>
        <v>0</v>
      </c>
      <c r="G330" s="13"/>
      <c r="H330" s="14" t="str">
        <f>HYPERLINK("https://pulti.ua/tv/pult-dlja-lg-akb72915207")</f>
        <v>https://pulti.ua/tv/pult-dlja-lg-akb72915207</v>
      </c>
    </row>
    <row r="331" spans="1:8" s="18" customFormat="1" ht="15" customHeight="1">
      <c r="A331" s="39">
        <v>2976</v>
      </c>
      <c r="B331" s="26" t="s">
        <v>308</v>
      </c>
      <c r="C331" s="13" t="s">
        <v>14</v>
      </c>
      <c r="D331" s="14"/>
      <c r="E331" s="9">
        <v>78.8</v>
      </c>
      <c r="F331" s="9">
        <f t="shared" si="10"/>
        <v>0</v>
      </c>
      <c r="G331" s="13"/>
      <c r="H331" s="14" t="str">
        <f>HYPERLINK("https://pulti.ua/tv/pult-dlja-lg-akb72915210")</f>
        <v>https://pulti.ua/tv/pult-dlja-lg-akb72915210</v>
      </c>
    </row>
    <row r="332" spans="1:8" s="18" customFormat="1" ht="15" customHeight="1">
      <c r="A332" s="11">
        <v>4284</v>
      </c>
      <c r="B332" s="12" t="s">
        <v>309</v>
      </c>
      <c r="C332" s="13" t="s">
        <v>14</v>
      </c>
      <c r="D332" s="14"/>
      <c r="E332" s="9">
        <v>58.1</v>
      </c>
      <c r="F332" s="9">
        <f t="shared" si="10"/>
        <v>0</v>
      </c>
      <c r="G332" s="13"/>
      <c r="H332" s="14" t="str">
        <f>HYPERLINK("https://pulti.ua/tv/pult-dlya-lg-akb72915244")</f>
        <v>https://pulti.ua/tv/pult-dlya-lg-akb72915244</v>
      </c>
    </row>
    <row r="333" spans="1:8" s="18" customFormat="1" ht="15" customHeight="1">
      <c r="A333" s="39">
        <v>2826</v>
      </c>
      <c r="B333" s="26" t="s">
        <v>310</v>
      </c>
      <c r="C333" s="13" t="s">
        <v>14</v>
      </c>
      <c r="D333" s="14"/>
      <c r="E333" s="9">
        <v>75</v>
      </c>
      <c r="F333" s="9">
        <f t="shared" si="10"/>
        <v>0</v>
      </c>
      <c r="G333" s="13"/>
      <c r="H333" s="14" t="str">
        <f>HYPERLINK("https://pulti.ua/tv/pult-dlja-lg-akb72915244")</f>
        <v>https://pulti.ua/tv/pult-dlja-lg-akb72915244</v>
      </c>
    </row>
    <row r="334" spans="1:8" s="18" customFormat="1" ht="15" customHeight="1">
      <c r="A334" s="39">
        <v>3981</v>
      </c>
      <c r="B334" s="26" t="s">
        <v>311</v>
      </c>
      <c r="C334" s="13" t="s">
        <v>14</v>
      </c>
      <c r="D334" s="14"/>
      <c r="E334" s="9">
        <v>56.3</v>
      </c>
      <c r="F334" s="9">
        <f t="shared" si="10"/>
        <v>0</v>
      </c>
      <c r="G334" s="13"/>
      <c r="H334" s="14" t="str">
        <f>HYPERLINK("https://pulti.ua/tv/pult-dlja-lg-akb72915279")</f>
        <v>https://pulti.ua/tv/pult-dlja-lg-akb72915279</v>
      </c>
    </row>
    <row r="335" spans="1:8" s="18" customFormat="1" ht="15" customHeight="1">
      <c r="A335" s="39">
        <v>2866</v>
      </c>
      <c r="B335" s="26" t="s">
        <v>312</v>
      </c>
      <c r="C335" s="13" t="s">
        <v>22</v>
      </c>
      <c r="D335" s="14"/>
      <c r="E335" s="9">
        <v>75</v>
      </c>
      <c r="F335" s="9">
        <f t="shared" si="10"/>
        <v>0</v>
      </c>
      <c r="G335" s="13"/>
      <c r="H335" s="14" t="str">
        <f>HYPERLINK("https://pulti.ua/tv/pult-dlja-lg-akb73275605---smart-tv")</f>
        <v>https://pulti.ua/tv/pult-dlja-lg-akb73275605---smart-tv</v>
      </c>
    </row>
    <row r="336" spans="1:8" s="18" customFormat="1" ht="15" customHeight="1">
      <c r="A336" s="39">
        <v>2867</v>
      </c>
      <c r="B336" s="26" t="s">
        <v>313</v>
      </c>
      <c r="C336" s="13" t="s">
        <v>14</v>
      </c>
      <c r="D336" s="14"/>
      <c r="E336" s="9">
        <v>90</v>
      </c>
      <c r="F336" s="9">
        <f t="shared" si="10"/>
        <v>0</v>
      </c>
      <c r="G336" s="13"/>
      <c r="H336" s="14" t="str">
        <f>HYPERLINK("https://pulti.ua/tv/pult-dlja-lg-akb732756123d-smart-tv")</f>
        <v>https://pulti.ua/tv/pult-dlja-lg-akb732756123d-smart-tv</v>
      </c>
    </row>
    <row r="337" spans="1:8" s="18" customFormat="1" ht="15" customHeight="1">
      <c r="A337" s="39">
        <v>3224</v>
      </c>
      <c r="B337" s="26" t="s">
        <v>314</v>
      </c>
      <c r="C337" s="13" t="s">
        <v>14</v>
      </c>
      <c r="D337" s="14"/>
      <c r="E337" s="9">
        <v>90</v>
      </c>
      <c r="F337" s="9">
        <f t="shared" si="10"/>
        <v>0</v>
      </c>
      <c r="G337" s="13"/>
      <c r="H337" s="14" t="str">
        <f>HYPERLINK("https://pulti.ua/tv/pult-dlja-lg-akb73615303--3d")</f>
        <v>https://pulti.ua/tv/pult-dlja-lg-akb73615303--3d</v>
      </c>
    </row>
    <row r="338" spans="1:8" s="18" customFormat="1" ht="15" customHeight="1">
      <c r="A338" s="39">
        <v>3878</v>
      </c>
      <c r="B338" s="26" t="s">
        <v>315</v>
      </c>
      <c r="C338" s="13" t="s">
        <v>14</v>
      </c>
      <c r="D338" s="14"/>
      <c r="E338" s="9">
        <v>90</v>
      </c>
      <c r="F338" s="9">
        <f t="shared" si="10"/>
        <v>0</v>
      </c>
      <c r="G338" s="13"/>
      <c r="H338" s="14" t="str">
        <f>HYPERLINK("https://pulti.ua/tv/pult-dlja-lg-akb73615307")</f>
        <v>https://pulti.ua/tv/pult-dlja-lg-akb73615307</v>
      </c>
    </row>
    <row r="339" spans="1:8" s="18" customFormat="1" ht="15" customHeight="1">
      <c r="A339" s="39">
        <v>3225</v>
      </c>
      <c r="B339" s="26" t="s">
        <v>1341</v>
      </c>
      <c r="C339" s="13" t="s">
        <v>14</v>
      </c>
      <c r="D339" s="14"/>
      <c r="E339" s="9">
        <v>73.1</v>
      </c>
      <c r="F339" s="9">
        <f t="shared" si="10"/>
        <v>0</v>
      </c>
      <c r="G339" s="13"/>
      <c r="H339" s="14" t="str">
        <f>HYPERLINK("https://pulti.ua/tv/pult-dlja-lg-akb73655802")</f>
        <v>https://pulti.ua/tv/pult-dlja-lg-akb73655802</v>
      </c>
    </row>
    <row r="340" spans="1:8" s="18" customFormat="1" ht="15" customHeight="1">
      <c r="A340" s="39">
        <v>3162</v>
      </c>
      <c r="B340" s="26" t="s">
        <v>316</v>
      </c>
      <c r="C340" s="13" t="s">
        <v>14</v>
      </c>
      <c r="D340" s="14"/>
      <c r="E340" s="9">
        <v>73.1</v>
      </c>
      <c r="F340" s="9">
        <f t="shared" si="10"/>
        <v>0</v>
      </c>
      <c r="G340" s="13"/>
      <c r="H340" s="14" t="str">
        <f>HYPERLINK("https://pulti.ua/tv/pult-dlja-lg-akb73655822")</f>
        <v>https://pulti.ua/tv/pult-dlja-lg-akb73655822</v>
      </c>
    </row>
    <row r="341" spans="1:8" s="18" customFormat="1" ht="15" customHeight="1">
      <c r="A341" s="39">
        <v>3226</v>
      </c>
      <c r="B341" s="26" t="s">
        <v>1342</v>
      </c>
      <c r="C341" s="13" t="s">
        <v>14</v>
      </c>
      <c r="D341" s="14"/>
      <c r="E341" s="9">
        <v>60</v>
      </c>
      <c r="F341" s="9">
        <f t="shared" si="10"/>
        <v>0</v>
      </c>
      <c r="G341" s="13"/>
      <c r="H341" s="14" t="str">
        <f>HYPERLINK("https://pulti.ua/tv/pult-dlja-lg-akb73655833")</f>
        <v>https://pulti.ua/tv/pult-dlja-lg-akb73655833</v>
      </c>
    </row>
    <row r="342" spans="1:8" s="18" customFormat="1" ht="15" customHeight="1">
      <c r="A342" s="11">
        <v>4288</v>
      </c>
      <c r="B342" s="12" t="s">
        <v>317</v>
      </c>
      <c r="C342" s="13" t="s">
        <v>14</v>
      </c>
      <c r="D342" s="14"/>
      <c r="E342" s="9">
        <v>55.1</v>
      </c>
      <c r="F342" s="9">
        <f t="shared" si="10"/>
        <v>0</v>
      </c>
      <c r="G342" s="13"/>
      <c r="H342" s="14" t="str">
        <f>HYPERLINK("https://pulti.ua/tv/pult-dlya-lg-akb73715601")</f>
        <v>https://pulti.ua/tv/pult-dlya-lg-akb73715601</v>
      </c>
    </row>
    <row r="343" spans="1:8" s="18" customFormat="1" ht="15" customHeight="1">
      <c r="A343" s="39">
        <v>3481</v>
      </c>
      <c r="B343" s="26" t="s">
        <v>318</v>
      </c>
      <c r="C343" s="13" t="s">
        <v>14</v>
      </c>
      <c r="D343" s="14"/>
      <c r="E343" s="9">
        <v>67.5</v>
      </c>
      <c r="F343" s="9">
        <f t="shared" si="10"/>
        <v>0</v>
      </c>
      <c r="G343" s="13"/>
      <c r="H343" s="14" t="str">
        <f>HYPERLINK("https://pulti.ua/tv/pult-dlja-lg-akb73715601-smart-tv")</f>
        <v>https://pulti.ua/tv/pult-dlja-lg-akb73715601-smart-tv</v>
      </c>
    </row>
    <row r="344" spans="1:8" s="18" customFormat="1" ht="15" customHeight="1">
      <c r="A344" s="11">
        <v>4287</v>
      </c>
      <c r="B344" s="12" t="s">
        <v>319</v>
      </c>
      <c r="C344" s="13" t="s">
        <v>14</v>
      </c>
      <c r="D344" s="14"/>
      <c r="E344" s="9">
        <v>54.4</v>
      </c>
      <c r="F344" s="9">
        <f t="shared" si="10"/>
        <v>0</v>
      </c>
      <c r="G344" s="13"/>
      <c r="H344" s="14" t="str">
        <f>HYPERLINK("https://pulti.ua/tv/pult-dlya-lg-akb73715603")</f>
        <v>https://pulti.ua/tv/pult-dlya-lg-akb73715603</v>
      </c>
    </row>
    <row r="345" spans="1:8" s="18" customFormat="1" ht="15" customHeight="1">
      <c r="A345" s="39">
        <v>3480</v>
      </c>
      <c r="B345" s="26" t="s">
        <v>320</v>
      </c>
      <c r="C345" s="13" t="s">
        <v>14</v>
      </c>
      <c r="D345" s="14"/>
      <c r="E345" s="9">
        <v>63</v>
      </c>
      <c r="F345" s="9">
        <f t="shared" si="10"/>
        <v>0</v>
      </c>
      <c r="G345" s="13"/>
      <c r="H345" s="14" t="str">
        <f>HYPERLINK("https://pulti.ua/tv/pult-dlja-lg-akb73715603")</f>
        <v>https://pulti.ua/tv/pult-dlja-lg-akb73715603</v>
      </c>
    </row>
    <row r="346" spans="1:8" s="18" customFormat="1" ht="15" customHeight="1">
      <c r="A346" s="39">
        <v>3576</v>
      </c>
      <c r="B346" s="26" t="s">
        <v>321</v>
      </c>
      <c r="C346" s="13" t="s">
        <v>14</v>
      </c>
      <c r="D346" s="14"/>
      <c r="E346" s="9">
        <v>99.4</v>
      </c>
      <c r="F346" s="9">
        <f t="shared" si="10"/>
        <v>0</v>
      </c>
      <c r="G346" s="13"/>
      <c r="H346" s="14" t="str">
        <f>HYPERLINK("https://pulti.ua/tv/pult-dlja-lg-akb73715622")</f>
        <v>https://pulti.ua/tv/pult-dlja-lg-akb73715622</v>
      </c>
    </row>
    <row r="347" spans="1:8" s="18" customFormat="1" ht="15" customHeight="1">
      <c r="A347" s="39">
        <v>3672</v>
      </c>
      <c r="B347" s="26" t="s">
        <v>1343</v>
      </c>
      <c r="C347" s="13" t="s">
        <v>14</v>
      </c>
      <c r="D347" s="14"/>
      <c r="E347" s="9">
        <v>75</v>
      </c>
      <c r="F347" s="9">
        <f t="shared" si="10"/>
        <v>0</v>
      </c>
      <c r="G347" s="13"/>
      <c r="H347" s="14" t="str">
        <f>HYPERLINK("https://pulti.ua/tv/pult-dlja-lg-akb73715634-smart-tv-ic")</f>
        <v>https://pulti.ua/tv/pult-dlja-lg-akb73715634-smart-tv-ic</v>
      </c>
    </row>
    <row r="348" spans="1:8" s="18" customFormat="1" ht="15" customHeight="1">
      <c r="A348" s="39">
        <v>3673</v>
      </c>
      <c r="B348" s="26" t="s">
        <v>322</v>
      </c>
      <c r="C348" s="13" t="s">
        <v>14</v>
      </c>
      <c r="D348" s="14"/>
      <c r="E348" s="9">
        <v>71.3</v>
      </c>
      <c r="F348" s="9">
        <f t="shared" si="10"/>
        <v>0</v>
      </c>
      <c r="G348" s="13"/>
      <c r="H348" s="14" t="str">
        <f>HYPERLINK("https://pulti.ua/tv/pult-dlja-lg-akb73715669-smart-tv-3d-ic")</f>
        <v>https://pulti.ua/tv/pult-dlja-lg-akb73715669-smart-tv-3d-ic</v>
      </c>
    </row>
    <row r="349" spans="1:8" s="18" customFormat="1" ht="15" customHeight="1">
      <c r="A349" s="11">
        <v>4312</v>
      </c>
      <c r="B349" s="12" t="s">
        <v>323</v>
      </c>
      <c r="C349" s="13" t="s">
        <v>14</v>
      </c>
      <c r="D349" s="14"/>
      <c r="E349" s="9">
        <v>54.4</v>
      </c>
      <c r="F349" s="9">
        <f t="shared" si="10"/>
        <v>0</v>
      </c>
      <c r="G349" s="13"/>
      <c r="H349" s="14" t="str">
        <f>HYPERLINK("https://pulti.ua/tv/pult-dlya-lg-akb73715669")</f>
        <v>https://pulti.ua/tv/pult-dlya-lg-akb73715669</v>
      </c>
    </row>
    <row r="350" spans="1:8" s="18" customFormat="1" ht="15" customHeight="1">
      <c r="A350" s="39">
        <v>3674</v>
      </c>
      <c r="B350" s="26" t="s">
        <v>324</v>
      </c>
      <c r="C350" s="13" t="s">
        <v>14</v>
      </c>
      <c r="D350" s="14"/>
      <c r="E350" s="9">
        <v>65.6</v>
      </c>
      <c r="F350" s="9">
        <f t="shared" si="10"/>
        <v>0</v>
      </c>
      <c r="G350" s="13"/>
      <c r="H350" s="14" t="str">
        <f>HYPERLINK("https://pulti.ua/tv/pult-dlja-lg-akb73715686-ic")</f>
        <v>https://pulti.ua/tv/pult-dlja-lg-akb73715686-ic</v>
      </c>
    </row>
    <row r="351" spans="1:8" s="18" customFormat="1" ht="15" customHeight="1">
      <c r="A351" s="39">
        <v>3675</v>
      </c>
      <c r="B351" s="26" t="s">
        <v>325</v>
      </c>
      <c r="C351" s="13" t="s">
        <v>14</v>
      </c>
      <c r="D351" s="14"/>
      <c r="E351" s="9">
        <v>82.5</v>
      </c>
      <c r="F351" s="9">
        <f t="shared" si="10"/>
        <v>0</v>
      </c>
      <c r="G351" s="13"/>
      <c r="H351" s="14" t="str">
        <f>HYPERLINK("https://pulti.ua/tv/pult-dlja-lg-akb73715694-3d-ic")</f>
        <v>https://pulti.ua/tv/pult-dlja-lg-akb73715694-3d-ic</v>
      </c>
    </row>
    <row r="352" spans="1:8" s="18" customFormat="1" ht="15" customHeight="1">
      <c r="A352" s="39">
        <v>3406</v>
      </c>
      <c r="B352" s="26" t="s">
        <v>326</v>
      </c>
      <c r="C352" s="13" t="s">
        <v>14</v>
      </c>
      <c r="D352" s="15" t="s">
        <v>1314</v>
      </c>
      <c r="E352" s="9">
        <v>86.3</v>
      </c>
      <c r="F352" s="9"/>
      <c r="G352" s="13"/>
      <c r="H352" s="14" t="str">
        <f>HYPERLINK("https://pulti.ua/tv/pult-dlja-lg-akb73756502-smart-tv")</f>
        <v>https://pulti.ua/tv/pult-dlja-lg-akb73756502-smart-tv</v>
      </c>
    </row>
    <row r="353" spans="1:8" s="18" customFormat="1" ht="15" customHeight="1">
      <c r="A353" s="39">
        <v>3677</v>
      </c>
      <c r="B353" s="26" t="s">
        <v>327</v>
      </c>
      <c r="C353" s="13" t="s">
        <v>14</v>
      </c>
      <c r="D353" s="14"/>
      <c r="E353" s="9">
        <v>90</v>
      </c>
      <c r="F353" s="9">
        <f>D353*E353</f>
        <v>0</v>
      </c>
      <c r="G353" s="13"/>
      <c r="H353" s="14" t="str">
        <f>HYPERLINK("https://pulti.ua/tv/pult-dlja-lg-akb73756504-smart-tv-ic")</f>
        <v>https://pulti.ua/tv/pult-dlja-lg-akb73756504-smart-tv-ic</v>
      </c>
    </row>
    <row r="354" spans="1:8" s="18" customFormat="1" ht="15" customHeight="1">
      <c r="A354" s="39">
        <v>3886</v>
      </c>
      <c r="B354" s="26" t="s">
        <v>328</v>
      </c>
      <c r="C354" s="13" t="s">
        <v>14</v>
      </c>
      <c r="D354" s="14"/>
      <c r="E354" s="9">
        <v>90</v>
      </c>
      <c r="F354" s="9">
        <f>D354*E354</f>
        <v>0</v>
      </c>
      <c r="G354" s="13"/>
      <c r="H354" s="14" t="str">
        <f>HYPERLINK("https://pulti.ua/tv/pult-dlja-lg-akb73756559")</f>
        <v>https://pulti.ua/tv/pult-dlja-lg-akb73756559</v>
      </c>
    </row>
    <row r="355" spans="1:8" s="18" customFormat="1" ht="15" customHeight="1">
      <c r="A355" s="39">
        <v>3887</v>
      </c>
      <c r="B355" s="26" t="s">
        <v>1344</v>
      </c>
      <c r="C355" s="13" t="s">
        <v>14</v>
      </c>
      <c r="D355" s="15" t="s">
        <v>1314</v>
      </c>
      <c r="E355" s="9">
        <v>78.8</v>
      </c>
      <c r="F355" s="9"/>
      <c r="G355" s="13"/>
      <c r="H355" s="14" t="str">
        <f>HYPERLINK("https://pulti.ua/tv/pult-dlja-lg-akb73756564")</f>
        <v>https://pulti.ua/tv/pult-dlja-lg-akb73756564</v>
      </c>
    </row>
    <row r="356" spans="1:8" s="18" customFormat="1" ht="15" customHeight="1">
      <c r="A356" s="39">
        <v>3888</v>
      </c>
      <c r="B356" s="26" t="s">
        <v>329</v>
      </c>
      <c r="C356" s="13" t="s">
        <v>14</v>
      </c>
      <c r="D356" s="15" t="s">
        <v>1314</v>
      </c>
      <c r="E356" s="9">
        <v>76.9</v>
      </c>
      <c r="F356" s="9"/>
      <c r="G356" s="13"/>
      <c r="H356" s="14" t="str">
        <f>HYPERLINK("https://pulti.ua/tv/pult-dlja-lg-akb73756571")</f>
        <v>https://pulti.ua/tv/pult-dlja-lg-akb73756571</v>
      </c>
    </row>
    <row r="357" spans="1:8" s="18" customFormat="1" ht="15" customHeight="1">
      <c r="A357" s="39">
        <v>3889</v>
      </c>
      <c r="B357" s="26" t="s">
        <v>330</v>
      </c>
      <c r="C357" s="13" t="s">
        <v>14</v>
      </c>
      <c r="D357" s="14"/>
      <c r="E357" s="9">
        <v>67.5</v>
      </c>
      <c r="F357" s="9">
        <f aca="true" t="shared" si="11" ref="F357:F364">D357*E357</f>
        <v>0</v>
      </c>
      <c r="G357" s="13"/>
      <c r="H357" s="14" t="str">
        <f>HYPERLINK("https://pulti.ua/tv/pult-dlja-lg-akb73975729")</f>
        <v>https://pulti.ua/tv/pult-dlja-lg-akb73975729</v>
      </c>
    </row>
    <row r="358" spans="1:8" s="18" customFormat="1" ht="15" customHeight="1">
      <c r="A358" s="39">
        <v>3890</v>
      </c>
      <c r="B358" s="26" t="s">
        <v>331</v>
      </c>
      <c r="C358" s="13" t="s">
        <v>14</v>
      </c>
      <c r="D358" s="14"/>
      <c r="E358" s="9">
        <v>67.5</v>
      </c>
      <c r="F358" s="9">
        <f t="shared" si="11"/>
        <v>0</v>
      </c>
      <c r="G358" s="13"/>
      <c r="H358" s="14" t="str">
        <f>HYPERLINK("https://pulti.ua/tv/pult-dlja-lg-akb73975757")</f>
        <v>https://pulti.ua/tv/pult-dlja-lg-akb73975757</v>
      </c>
    </row>
    <row r="359" spans="1:8" s="18" customFormat="1" ht="15" customHeight="1">
      <c r="A359" s="39">
        <v>3891</v>
      </c>
      <c r="B359" s="26" t="s">
        <v>332</v>
      </c>
      <c r="C359" s="13" t="s">
        <v>14</v>
      </c>
      <c r="D359" s="14"/>
      <c r="E359" s="9">
        <v>67.5</v>
      </c>
      <c r="F359" s="9">
        <f t="shared" si="11"/>
        <v>0</v>
      </c>
      <c r="G359" s="13"/>
      <c r="H359" s="14" t="str">
        <f>HYPERLINK("https://pulti.ua/tv/pult-dlja-lg-akb73975761")</f>
        <v>https://pulti.ua/tv/pult-dlja-lg-akb73975761</v>
      </c>
    </row>
    <row r="360" spans="1:8" s="18" customFormat="1" ht="15" customHeight="1">
      <c r="A360" s="11">
        <v>4373</v>
      </c>
      <c r="B360" s="12" t="s">
        <v>333</v>
      </c>
      <c r="C360" s="13" t="s">
        <v>14</v>
      </c>
      <c r="D360" s="14"/>
      <c r="E360" s="9">
        <v>53.3</v>
      </c>
      <c r="F360" s="9">
        <f t="shared" si="11"/>
        <v>0</v>
      </c>
      <c r="G360" s="13"/>
      <c r="H360" s="14" t="str">
        <f>HYPERLINK("https://pulti.ua/tv/pult-dlya-lg-akb73975761")</f>
        <v>https://pulti.ua/tv/pult-dlya-lg-akb73975761</v>
      </c>
    </row>
    <row r="361" spans="1:8" s="18" customFormat="1" ht="15" customHeight="1">
      <c r="A361" s="39">
        <v>4266</v>
      </c>
      <c r="B361" s="26" t="s">
        <v>334</v>
      </c>
      <c r="C361" s="13" t="s">
        <v>14</v>
      </c>
      <c r="D361" s="14"/>
      <c r="E361" s="9">
        <v>63.8</v>
      </c>
      <c r="F361" s="9">
        <f t="shared" si="11"/>
        <v>0</v>
      </c>
      <c r="G361" s="13"/>
      <c r="H361" s="14" t="str">
        <f>HYPERLINK("https://pulti.ua/tv/pult-dlya-lg-akb73975786")</f>
        <v>https://pulti.ua/tv/pult-dlya-lg-akb73975786</v>
      </c>
    </row>
    <row r="362" spans="1:8" s="18" customFormat="1" ht="15" customHeight="1">
      <c r="A362" s="39">
        <v>4003</v>
      </c>
      <c r="B362" s="26" t="s">
        <v>1345</v>
      </c>
      <c r="C362" s="13" t="s">
        <v>14</v>
      </c>
      <c r="D362" s="14"/>
      <c r="E362" s="9">
        <v>75</v>
      </c>
      <c r="F362" s="9">
        <f t="shared" si="11"/>
        <v>0</v>
      </c>
      <c r="G362" s="13"/>
      <c r="H362" s="14" t="str">
        <f>HYPERLINK("https://pulti.ua/tv/pult-dlja-lg-akb74455401")</f>
        <v>https://pulti.ua/tv/pult-dlja-lg-akb74455401</v>
      </c>
    </row>
    <row r="363" spans="1:8" s="18" customFormat="1" ht="15" customHeight="1">
      <c r="A363" s="39">
        <v>4004</v>
      </c>
      <c r="B363" s="26" t="s">
        <v>335</v>
      </c>
      <c r="C363" s="13" t="s">
        <v>14</v>
      </c>
      <c r="D363" s="14"/>
      <c r="E363" s="9">
        <v>86.3</v>
      </c>
      <c r="F363" s="9">
        <f t="shared" si="11"/>
        <v>0</v>
      </c>
      <c r="G363" s="13"/>
      <c r="H363" s="14" t="str">
        <f>HYPERLINK("https://pulti.ua/tv/pult-dlja-lg-akb74455403")</f>
        <v>https://pulti.ua/tv/pult-dlja-lg-akb74455403</v>
      </c>
    </row>
    <row r="364" spans="1:8" s="18" customFormat="1" ht="15" customHeight="1">
      <c r="A364" s="11">
        <v>4566</v>
      </c>
      <c r="B364" s="12" t="s">
        <v>336</v>
      </c>
      <c r="C364" s="13" t="s">
        <v>14</v>
      </c>
      <c r="D364" s="14"/>
      <c r="E364" s="9">
        <v>75</v>
      </c>
      <c r="F364" s="9">
        <f t="shared" si="11"/>
        <v>0</v>
      </c>
      <c r="G364" s="13"/>
      <c r="H364" s="14" t="str">
        <f>HYPERLINK("https://pulti.ua/tv/pult-dlya-lg-akb74455403")</f>
        <v>https://pulti.ua/tv/pult-dlya-lg-akb74455403</v>
      </c>
    </row>
    <row r="365" spans="1:8" s="18" customFormat="1" ht="15" customHeight="1">
      <c r="A365" s="39">
        <v>4006</v>
      </c>
      <c r="B365" s="26" t="s">
        <v>1346</v>
      </c>
      <c r="C365" s="13" t="s">
        <v>14</v>
      </c>
      <c r="D365" s="15" t="s">
        <v>1314</v>
      </c>
      <c r="E365" s="9">
        <v>64.9</v>
      </c>
      <c r="F365" s="9"/>
      <c r="G365" s="13"/>
      <c r="H365" s="14" t="str">
        <f>HYPERLINK("https://pulti.ua/tv/pult-dlja-lg-akb74475401")</f>
        <v>https://pulti.ua/tv/pult-dlja-lg-akb74475401</v>
      </c>
    </row>
    <row r="366" spans="1:8" s="18" customFormat="1" ht="15" customHeight="1">
      <c r="A366" s="39">
        <v>4309</v>
      </c>
      <c r="B366" s="26" t="s">
        <v>337</v>
      </c>
      <c r="C366" s="13" t="s">
        <v>14</v>
      </c>
      <c r="D366" s="14"/>
      <c r="E366" s="9">
        <v>67.5</v>
      </c>
      <c r="F366" s="9">
        <f>D366*E366</f>
        <v>0</v>
      </c>
      <c r="G366" s="13"/>
      <c r="H366" s="14" t="str">
        <f>HYPERLINK("https://pulti.ua/tv/pult-dlya-lg-akb74475404")</f>
        <v>https://pulti.ua/tv/pult-dlya-lg-akb74475404</v>
      </c>
    </row>
    <row r="367" spans="1:8" s="18" customFormat="1" ht="15" customHeight="1">
      <c r="A367" s="39">
        <v>4007</v>
      </c>
      <c r="B367" s="26" t="s">
        <v>1347</v>
      </c>
      <c r="C367" s="13" t="s">
        <v>14</v>
      </c>
      <c r="D367" s="14"/>
      <c r="E367" s="9">
        <v>67.5</v>
      </c>
      <c r="F367" s="9">
        <f>D367*E367</f>
        <v>0</v>
      </c>
      <c r="G367" s="13"/>
      <c r="H367" s="14" t="str">
        <f>HYPERLINK("https://pulti.ua/tv/pult-dlja-lg-akb74475472")</f>
        <v>https://pulti.ua/tv/pult-dlja-lg-akb74475472</v>
      </c>
    </row>
    <row r="368" spans="1:8" s="18" customFormat="1" ht="15" customHeight="1">
      <c r="A368" s="39">
        <v>4008</v>
      </c>
      <c r="B368" s="26" t="s">
        <v>338</v>
      </c>
      <c r="C368" s="13" t="s">
        <v>14</v>
      </c>
      <c r="D368" s="14"/>
      <c r="E368" s="9">
        <v>63.8</v>
      </c>
      <c r="F368" s="9">
        <f>D368*E368</f>
        <v>0</v>
      </c>
      <c r="G368" s="13"/>
      <c r="H368" s="14" t="str">
        <f>HYPERLINK("https://pulti.ua/tv/pult-dlja-lg-akb744754813")</f>
        <v>https://pulti.ua/tv/pult-dlja-lg-akb744754813</v>
      </c>
    </row>
    <row r="369" spans="1:8" s="18" customFormat="1" ht="15" customHeight="1">
      <c r="A369" s="39">
        <v>4009</v>
      </c>
      <c r="B369" s="26" t="s">
        <v>339</v>
      </c>
      <c r="C369" s="13" t="s">
        <v>14</v>
      </c>
      <c r="D369" s="14"/>
      <c r="E369" s="9">
        <v>63.8</v>
      </c>
      <c r="F369" s="9">
        <f>D369*E369</f>
        <v>0</v>
      </c>
      <c r="G369" s="13"/>
      <c r="H369" s="14" t="str">
        <f>HYPERLINK("https://pulti.ua/tv/pult-dlja-lg-akb74475490")</f>
        <v>https://pulti.ua/tv/pult-dlja-lg-akb74475490</v>
      </c>
    </row>
    <row r="370" spans="1:8" s="18" customFormat="1" ht="15" customHeight="1">
      <c r="A370" s="39">
        <v>4010</v>
      </c>
      <c r="B370" s="26" t="s">
        <v>340</v>
      </c>
      <c r="C370" s="13" t="s">
        <v>14</v>
      </c>
      <c r="D370" s="15" t="s">
        <v>1314</v>
      </c>
      <c r="E370" s="9">
        <v>63</v>
      </c>
      <c r="F370" s="9"/>
      <c r="G370" s="13"/>
      <c r="H370" s="14" t="str">
        <f>HYPERLINK("https://pulti.ua/tv/pult-dlja-lg-akb74915324")</f>
        <v>https://pulti.ua/tv/pult-dlja-lg-akb74915324</v>
      </c>
    </row>
    <row r="371" spans="1:8" s="18" customFormat="1" ht="15" customHeight="1">
      <c r="A371" s="39">
        <v>4011</v>
      </c>
      <c r="B371" s="26" t="s">
        <v>341</v>
      </c>
      <c r="C371" s="13" t="s">
        <v>14</v>
      </c>
      <c r="D371" s="14"/>
      <c r="E371" s="9">
        <v>63.8</v>
      </c>
      <c r="F371" s="9">
        <f aca="true" t="shared" si="12" ref="F371:F376">D371*E371</f>
        <v>0</v>
      </c>
      <c r="G371" s="13"/>
      <c r="H371" s="14" t="str">
        <f>HYPERLINK("https://pulti.ua/tv/pult-dlja-lg-akb74915325")</f>
        <v>https://pulti.ua/tv/pult-dlja-lg-akb74915325</v>
      </c>
    </row>
    <row r="372" spans="1:8" s="18" customFormat="1" ht="15" customHeight="1">
      <c r="A372" s="39">
        <v>4012</v>
      </c>
      <c r="B372" s="26" t="s">
        <v>342</v>
      </c>
      <c r="C372" s="13" t="s">
        <v>14</v>
      </c>
      <c r="D372" s="14"/>
      <c r="E372" s="9">
        <v>63.8</v>
      </c>
      <c r="F372" s="9">
        <f t="shared" si="12"/>
        <v>0</v>
      </c>
      <c r="G372" s="13"/>
      <c r="H372" s="14" t="str">
        <f>HYPERLINK("https://pulti.ua/tv/pult-dlja-lg-akb74915330")</f>
        <v>https://pulti.ua/tv/pult-dlja-lg-akb74915330</v>
      </c>
    </row>
    <row r="373" spans="1:8" s="18" customFormat="1" ht="15" customHeight="1">
      <c r="A373" s="39">
        <v>4013</v>
      </c>
      <c r="B373" s="26" t="s">
        <v>343</v>
      </c>
      <c r="C373" s="13" t="s">
        <v>14</v>
      </c>
      <c r="D373" s="14"/>
      <c r="E373" s="9">
        <v>63.8</v>
      </c>
      <c r="F373" s="9">
        <f t="shared" si="12"/>
        <v>0</v>
      </c>
      <c r="G373" s="13"/>
      <c r="H373" s="14" t="str">
        <f>HYPERLINK("https://pulti.ua/tv/pult-dlja-lg-akb74915346")</f>
        <v>https://pulti.ua/tv/pult-dlja-lg-akb74915346</v>
      </c>
    </row>
    <row r="374" spans="1:8" s="18" customFormat="1" ht="15" customHeight="1">
      <c r="A374" s="39">
        <v>4014</v>
      </c>
      <c r="B374" s="26" t="s">
        <v>344</v>
      </c>
      <c r="C374" s="13" t="s">
        <v>14</v>
      </c>
      <c r="D374" s="14"/>
      <c r="E374" s="9">
        <v>78.8</v>
      </c>
      <c r="F374" s="9">
        <f t="shared" si="12"/>
        <v>0</v>
      </c>
      <c r="G374" s="13"/>
      <c r="H374" s="14" t="str">
        <f>HYPERLINK("https://pulti.ua/tv/pult-dlja-lg-akb74915365")</f>
        <v>https://pulti.ua/tv/pult-dlja-lg-akb74915365</v>
      </c>
    </row>
    <row r="375" spans="1:8" s="18" customFormat="1" ht="15" customHeight="1">
      <c r="A375" s="39">
        <v>4359</v>
      </c>
      <c r="B375" s="26" t="s">
        <v>345</v>
      </c>
      <c r="C375" s="13" t="s">
        <v>14</v>
      </c>
      <c r="D375" s="14"/>
      <c r="E375" s="9">
        <v>63.8</v>
      </c>
      <c r="F375" s="9">
        <f t="shared" si="12"/>
        <v>0</v>
      </c>
      <c r="G375" s="13"/>
      <c r="H375" s="14" t="str">
        <f>HYPERLINK("https://pulti.ua/tv/pult-dlya-lg-akb75055702")</f>
        <v>https://pulti.ua/tv/pult-dlya-lg-akb75055702</v>
      </c>
    </row>
    <row r="376" spans="1:8" s="18" customFormat="1" ht="15" customHeight="1">
      <c r="A376" s="39">
        <v>4392</v>
      </c>
      <c r="B376" s="26" t="s">
        <v>1348</v>
      </c>
      <c r="C376" s="13" t="s">
        <v>14</v>
      </c>
      <c r="D376" s="14"/>
      <c r="E376" s="9">
        <v>67.5</v>
      </c>
      <c r="F376" s="9">
        <f t="shared" si="12"/>
        <v>0</v>
      </c>
      <c r="G376" s="13"/>
      <c r="H376" s="14" t="str">
        <f>HYPERLINK("https://pulti.ua/tv/pult-dlya-lg-akb75095308")</f>
        <v>https://pulti.ua/tv/pult-dlya-lg-akb75095308</v>
      </c>
    </row>
    <row r="377" spans="1:8" s="18" customFormat="1" ht="15" customHeight="1">
      <c r="A377" s="39">
        <v>4382</v>
      </c>
      <c r="B377" s="26" t="s">
        <v>346</v>
      </c>
      <c r="C377" s="13" t="s">
        <v>14</v>
      </c>
      <c r="D377" s="15" t="s">
        <v>1349</v>
      </c>
      <c r="E377" s="9">
        <v>63</v>
      </c>
      <c r="F377" s="9"/>
      <c r="G377" s="13"/>
      <c r="H377" s="14" t="str">
        <f>HYPERLINK("https://pulti.ua/tv/pult-dlya-lg-akb75095312")</f>
        <v>https://pulti.ua/tv/pult-dlya-lg-akb75095312</v>
      </c>
    </row>
    <row r="378" spans="1:8" s="18" customFormat="1" ht="15" customHeight="1">
      <c r="A378" s="11">
        <v>4600</v>
      </c>
      <c r="B378" s="12" t="s">
        <v>1350</v>
      </c>
      <c r="C378" s="13" t="s">
        <v>14</v>
      </c>
      <c r="D378" s="14"/>
      <c r="E378" s="9">
        <v>337.5</v>
      </c>
      <c r="F378" s="9">
        <f aca="true" t="shared" si="13" ref="F378:F389">D378*E378</f>
        <v>0</v>
      </c>
      <c r="G378" s="13"/>
      <c r="H378" s="14" t="str">
        <f>HYPERLINK("https://pulti.ua/uk/tv/pult-dlya-lg-an-mr500-akb73975801-magic-motion")</f>
        <v>https://pulti.ua/uk/tv/pult-dlya-lg-an-mr500-akb73975801-magic-motion</v>
      </c>
    </row>
    <row r="379" spans="1:8" s="18" customFormat="1" ht="15" customHeight="1">
      <c r="A379" s="39">
        <v>1343</v>
      </c>
      <c r="B379" s="26" t="s">
        <v>347</v>
      </c>
      <c r="C379" s="13" t="s">
        <v>11</v>
      </c>
      <c r="D379" s="14"/>
      <c r="E379" s="9">
        <v>56.3</v>
      </c>
      <c r="F379" s="9">
        <f t="shared" si="13"/>
        <v>0</v>
      </c>
      <c r="G379" s="13"/>
      <c r="H379" s="14" t="str">
        <f>HYPERLINK("https://pulti.ua/tv/pult-dlja-lg-mkj30036802-ic")</f>
        <v>https://pulti.ua/tv/pult-dlja-lg-mkj30036802-ic</v>
      </c>
    </row>
    <row r="380" spans="1:8" s="18" customFormat="1" ht="15" customHeight="1">
      <c r="A380" s="11">
        <v>1348</v>
      </c>
      <c r="B380" s="12" t="s">
        <v>348</v>
      </c>
      <c r="C380" s="13" t="s">
        <v>11</v>
      </c>
      <c r="D380" s="14"/>
      <c r="E380" s="9">
        <v>33.8</v>
      </c>
      <c r="F380" s="9">
        <f t="shared" si="13"/>
        <v>0</v>
      </c>
      <c r="G380" s="13"/>
      <c r="H380" s="14" t="str">
        <f>HYPERLINK("https://pulti.ua/tv/pult-dlja-lg-mkj32816601")</f>
        <v>https://pulti.ua/tv/pult-dlja-lg-mkj32816601</v>
      </c>
    </row>
    <row r="381" spans="1:8" s="18" customFormat="1" ht="15" customHeight="1">
      <c r="A381" s="11">
        <v>1349</v>
      </c>
      <c r="B381" s="12" t="s">
        <v>349</v>
      </c>
      <c r="C381" s="13" t="s">
        <v>11</v>
      </c>
      <c r="D381" s="14"/>
      <c r="E381" s="9">
        <v>56.3</v>
      </c>
      <c r="F381" s="9">
        <f t="shared" si="13"/>
        <v>0</v>
      </c>
      <c r="G381" s="13"/>
      <c r="H381" s="14" t="str">
        <f>HYPERLINK("https://pulti.ua/tv/pult-dlja-lg-mkj33981404")</f>
        <v>https://pulti.ua/tv/pult-dlja-lg-mkj33981404</v>
      </c>
    </row>
    <row r="382" spans="1:8" s="18" customFormat="1" ht="15" customHeight="1">
      <c r="A382" s="39">
        <v>3487</v>
      </c>
      <c r="B382" s="26" t="s">
        <v>350</v>
      </c>
      <c r="C382" s="13" t="s">
        <v>11</v>
      </c>
      <c r="D382" s="14"/>
      <c r="E382" s="9">
        <v>82.5</v>
      </c>
      <c r="F382" s="9">
        <f t="shared" si="13"/>
        <v>0</v>
      </c>
      <c r="G382" s="13"/>
      <c r="H382" s="14" t="str">
        <f>HYPERLINK("https://pulti.ua/tv/pult-dlja-lg-mkj33981404-ic")</f>
        <v>https://pulti.ua/tv/pult-dlja-lg-mkj33981404-ic</v>
      </c>
    </row>
    <row r="383" spans="1:8" s="18" customFormat="1" ht="15" customHeight="1">
      <c r="A383" s="39">
        <v>3479</v>
      </c>
      <c r="B383" s="26" t="s">
        <v>351</v>
      </c>
      <c r="C383" s="13" t="s">
        <v>22</v>
      </c>
      <c r="D383" s="14"/>
      <c r="E383" s="9">
        <v>101.3</v>
      </c>
      <c r="F383" s="9">
        <f t="shared" si="13"/>
        <v>0</v>
      </c>
      <c r="G383" s="13"/>
      <c r="H383" s="14" t="str">
        <f>HYPERLINK("https://pulti.ua/tv/pult-dlja-lg-mkj37815701")</f>
        <v>https://pulti.ua/tv/pult-dlja-lg-mkj37815701</v>
      </c>
    </row>
    <row r="384" spans="1:8" s="18" customFormat="1" ht="15" customHeight="1">
      <c r="A384" s="39">
        <v>3728</v>
      </c>
      <c r="B384" s="26" t="s">
        <v>352</v>
      </c>
      <c r="C384" s="13" t="s">
        <v>22</v>
      </c>
      <c r="D384" s="14"/>
      <c r="E384" s="9">
        <v>86.3</v>
      </c>
      <c r="F384" s="9">
        <f t="shared" si="13"/>
        <v>0</v>
      </c>
      <c r="G384" s="13"/>
      <c r="H384" s="14" t="str">
        <f>HYPERLINK("https://pulti.ua/tv/pult-dlja-lg-mkj37815705-ic")</f>
        <v>https://pulti.ua/tv/pult-dlja-lg-mkj37815705-ic</v>
      </c>
    </row>
    <row r="385" spans="1:8" s="18" customFormat="1" ht="15" customHeight="1">
      <c r="A385" s="39">
        <v>3163</v>
      </c>
      <c r="B385" s="26" t="s">
        <v>353</v>
      </c>
      <c r="C385" s="13" t="s">
        <v>22</v>
      </c>
      <c r="D385" s="14"/>
      <c r="E385" s="9">
        <v>191.3</v>
      </c>
      <c r="F385" s="9">
        <f t="shared" si="13"/>
        <v>0</v>
      </c>
      <c r="G385" s="13"/>
      <c r="H385" s="14" t="str">
        <f>HYPERLINK("https://pulti.ua/tv/pult-dlja-lg-mkj37815715")</f>
        <v>https://pulti.ua/tv/pult-dlja-lg-mkj37815715</v>
      </c>
    </row>
    <row r="386" spans="1:8" s="18" customFormat="1" ht="15" customHeight="1">
      <c r="A386" s="39">
        <v>3314</v>
      </c>
      <c r="B386" s="26" t="s">
        <v>354</v>
      </c>
      <c r="C386" s="13" t="s">
        <v>22</v>
      </c>
      <c r="D386" s="14"/>
      <c r="E386" s="9">
        <v>228.8</v>
      </c>
      <c r="F386" s="9">
        <f t="shared" si="13"/>
        <v>0</v>
      </c>
      <c r="G386" s="13"/>
      <c r="H386" s="14" t="str">
        <f>HYPERLINK("https://pulti.ua/tv/pult-dlja-lg-mkj61841804")</f>
        <v>https://pulti.ua/tv/pult-dlja-lg-mkj61841804</v>
      </c>
    </row>
    <row r="387" spans="1:8" s="18" customFormat="1" ht="15" customHeight="1">
      <c r="A387" s="39">
        <v>4569</v>
      </c>
      <c r="B387" s="26" t="s">
        <v>355</v>
      </c>
      <c r="C387" s="13" t="s">
        <v>14</v>
      </c>
      <c r="D387" s="14"/>
      <c r="E387" s="9">
        <v>86.3</v>
      </c>
      <c r="F387" s="9">
        <f t="shared" si="13"/>
        <v>0</v>
      </c>
      <c r="G387" s="13"/>
      <c r="H387" s="14" t="str">
        <f>HYPERLINK("https://pulti.ua/tv/pult-dlya-liberton-2400-edr0libr")</f>
        <v>https://pulti.ua/tv/pult-dlya-liberton-2400-edr0libr</v>
      </c>
    </row>
    <row r="388" spans="1:8" s="18" customFormat="1" ht="15" customHeight="1">
      <c r="A388" s="39">
        <v>3227</v>
      </c>
      <c r="B388" s="26" t="s">
        <v>356</v>
      </c>
      <c r="C388" s="13" t="s">
        <v>22</v>
      </c>
      <c r="D388" s="14"/>
      <c r="E388" s="9">
        <v>60</v>
      </c>
      <c r="F388" s="9">
        <f t="shared" si="13"/>
        <v>0</v>
      </c>
      <c r="G388" s="13"/>
      <c r="H388" s="14" t="str">
        <f>HYPERLINK("https://pulti.ua/tv/pult-dlja-liberton-ep-22")</f>
        <v>https://pulti.ua/tv/pult-dlja-liberton-ep-22</v>
      </c>
    </row>
    <row r="389" spans="1:8" s="18" customFormat="1" ht="15" customHeight="1">
      <c r="A389" s="39">
        <v>3482</v>
      </c>
      <c r="B389" s="26" t="s">
        <v>357</v>
      </c>
      <c r="C389" s="13" t="s">
        <v>11</v>
      </c>
      <c r="D389" s="14"/>
      <c r="E389" s="9">
        <v>86.3</v>
      </c>
      <c r="F389" s="9">
        <f t="shared" si="13"/>
        <v>0</v>
      </c>
      <c r="G389" s="13"/>
      <c r="H389" s="14" t="str">
        <f>HYPERLINK("https://pulti.ua/tv/pult-dlja-liberton-rs166l")</f>
        <v>https://pulti.ua/tv/pult-dlja-liberton-rs166l</v>
      </c>
    </row>
    <row r="390" spans="1:8" s="18" customFormat="1" ht="15" customHeight="1">
      <c r="A390" s="39">
        <v>4264</v>
      </c>
      <c r="B390" s="26" t="s">
        <v>358</v>
      </c>
      <c r="C390" s="13" t="s">
        <v>14</v>
      </c>
      <c r="D390" s="15" t="s">
        <v>1314</v>
      </c>
      <c r="E390" s="9">
        <v>67.5</v>
      </c>
      <c r="F390" s="9"/>
      <c r="G390" s="13"/>
      <c r="H390" s="14" t="str">
        <f>HYPERLINK("https://pulti.ua/tv/pult-dlya-liberty-ld3220")</f>
        <v>https://pulti.ua/tv/pult-dlya-liberty-ld3220</v>
      </c>
    </row>
    <row r="391" spans="1:8" s="18" customFormat="1" ht="15" customHeight="1">
      <c r="A391" s="11">
        <v>2713</v>
      </c>
      <c r="B391" s="12" t="s">
        <v>359</v>
      </c>
      <c r="C391" s="13" t="s">
        <v>22</v>
      </c>
      <c r="D391" s="14"/>
      <c r="E391" s="9">
        <v>93.8</v>
      </c>
      <c r="F391" s="9">
        <f aca="true" t="shared" si="14" ref="F391:F410">D391*E391</f>
        <v>0</v>
      </c>
      <c r="G391" s="13"/>
      <c r="H391" s="14" t="str">
        <f>HYPERLINK("https://pulti.ua/tv/pult-dlja-meredian-lcd-530-noc")</f>
        <v>https://pulti.ua/tv/pult-dlja-meredian-lcd-530-noc</v>
      </c>
    </row>
    <row r="392" spans="1:8" s="18" customFormat="1" ht="15" customHeight="1">
      <c r="A392" s="39">
        <v>3229</v>
      </c>
      <c r="B392" s="26" t="s">
        <v>360</v>
      </c>
      <c r="C392" s="13" t="s">
        <v>14</v>
      </c>
      <c r="D392" s="14"/>
      <c r="E392" s="9">
        <v>101.3</v>
      </c>
      <c r="F392" s="9">
        <f t="shared" si="14"/>
        <v>0</v>
      </c>
      <c r="G392" s="13"/>
      <c r="H392" s="14" t="str">
        <f>HYPERLINK("https://pulti.ua/tv/pult-dlja-meredian-rc3000e02")</f>
        <v>https://pulti.ua/tv/pult-dlja-meredian-rc3000e02</v>
      </c>
    </row>
    <row r="393" spans="1:8" s="18" customFormat="1" ht="15" customHeight="1">
      <c r="A393" s="39">
        <v>3104</v>
      </c>
      <c r="B393" s="26" t="s">
        <v>361</v>
      </c>
      <c r="C393" s="13" t="s">
        <v>11</v>
      </c>
      <c r="D393" s="14"/>
      <c r="E393" s="9">
        <v>116.3</v>
      </c>
      <c r="F393" s="9">
        <f t="shared" si="14"/>
        <v>0</v>
      </c>
      <c r="G393" s="13"/>
      <c r="H393" s="14" t="str">
        <f>HYPERLINK("https://pulti.ua/tv/pult-dlja-meredian-rc-915")</f>
        <v>https://pulti.ua/tv/pult-dlja-meredian-rc-915</v>
      </c>
    </row>
    <row r="394" spans="1:8" s="18" customFormat="1" ht="15" customHeight="1">
      <c r="A394" s="39">
        <v>3105</v>
      </c>
      <c r="B394" s="26" t="s">
        <v>362</v>
      </c>
      <c r="C394" s="13" t="s">
        <v>11</v>
      </c>
      <c r="D394" s="14"/>
      <c r="E394" s="9">
        <v>116.3</v>
      </c>
      <c r="F394" s="9">
        <f t="shared" si="14"/>
        <v>0</v>
      </c>
      <c r="G394" s="13"/>
      <c r="H394" s="14" t="str">
        <f>HYPERLINK("https://pulti.ua/tv/pult-dlja-meredian-rc-916")</f>
        <v>https://pulti.ua/tv/pult-dlja-meredian-rc-916</v>
      </c>
    </row>
    <row r="395" spans="1:8" s="18" customFormat="1" ht="15" customHeight="1">
      <c r="A395" s="11">
        <v>4573</v>
      </c>
      <c r="B395" s="12" t="s">
        <v>363</v>
      </c>
      <c r="C395" s="13" t="s">
        <v>14</v>
      </c>
      <c r="D395" s="14"/>
      <c r="E395" s="9">
        <v>69.4</v>
      </c>
      <c r="F395" s="9">
        <f t="shared" si="14"/>
        <v>0</v>
      </c>
      <c r="G395" s="13"/>
      <c r="H395" s="14" t="str">
        <f>HYPERLINK("https://pulti.ua/tv/pult-dlya-mirta-ld-32t2hds")</f>
        <v>https://pulti.ua/tv/pult-dlya-mirta-ld-32t2hds</v>
      </c>
    </row>
    <row r="396" spans="1:8" s="18" customFormat="1" ht="15" customHeight="1">
      <c r="A396" s="11">
        <v>1403</v>
      </c>
      <c r="B396" s="12" t="s">
        <v>364</v>
      </c>
      <c r="C396" s="13" t="s">
        <v>11</v>
      </c>
      <c r="D396" s="14"/>
      <c r="E396" s="9">
        <v>101.3</v>
      </c>
      <c r="F396" s="9">
        <f t="shared" si="14"/>
        <v>0</v>
      </c>
      <c r="G396" s="13"/>
      <c r="H396" s="14" t="str">
        <f>HYPERLINK("https://pulti.ua/tv/pult-dlja-mitsubishi-rm07901")</f>
        <v>https://pulti.ua/tv/pult-dlja-mitsubishi-rm07901</v>
      </c>
    </row>
    <row r="397" spans="1:8" s="18" customFormat="1" ht="15" customHeight="1">
      <c r="A397" s="11">
        <v>2718</v>
      </c>
      <c r="B397" s="12" t="s">
        <v>365</v>
      </c>
      <c r="C397" s="13" t="s">
        <v>22</v>
      </c>
      <c r="D397" s="14"/>
      <c r="E397" s="9">
        <v>123.8</v>
      </c>
      <c r="F397" s="9">
        <f t="shared" si="14"/>
        <v>0</v>
      </c>
      <c r="G397" s="13"/>
      <c r="H397" s="14" t="str">
        <f>HYPERLINK("https://pulti.ua/tv/pult-dlja-myota-lcd-tv")</f>
        <v>https://pulti.ua/tv/pult-dlja-myota-lcd-tv</v>
      </c>
    </row>
    <row r="398" spans="1:8" s="18" customFormat="1" ht="15" customHeight="1">
      <c r="A398" s="11">
        <v>4041</v>
      </c>
      <c r="B398" s="12" t="s">
        <v>366</v>
      </c>
      <c r="C398" s="13" t="s">
        <v>22</v>
      </c>
      <c r="D398" s="14"/>
      <c r="E398" s="9">
        <v>75</v>
      </c>
      <c r="F398" s="9">
        <f t="shared" si="14"/>
        <v>0</v>
      </c>
      <c r="G398" s="13"/>
      <c r="H398" s="14" t="str">
        <f>HYPERLINK("https://pulti.ua/tv/pult-dlja-myota-lcd-tv-151-cep")</f>
        <v>https://pulti.ua/tv/pult-dlja-myota-lcd-tv-151-cep</v>
      </c>
    </row>
    <row r="399" spans="1:8" s="18" customFormat="1" ht="15" customHeight="1">
      <c r="A399" s="11">
        <v>4040</v>
      </c>
      <c r="B399" s="12" t="s">
        <v>367</v>
      </c>
      <c r="C399" s="13" t="s">
        <v>22</v>
      </c>
      <c r="D399" s="14"/>
      <c r="E399" s="9">
        <v>75</v>
      </c>
      <c r="F399" s="9">
        <f t="shared" si="14"/>
        <v>0</v>
      </c>
      <c r="G399" s="13"/>
      <c r="H399" s="14" t="str">
        <f>HYPERLINK("https://pulti.ua/tv/pult-dlja-myota-lcd-tv-161-lang-wide")</f>
        <v>https://pulti.ua/tv/pult-dlja-myota-lcd-tv-161-lang-wide</v>
      </c>
    </row>
    <row r="400" spans="1:8" s="18" customFormat="1" ht="15" customHeight="1">
      <c r="A400" s="11">
        <v>4038</v>
      </c>
      <c r="B400" s="12" t="s">
        <v>368</v>
      </c>
      <c r="C400" s="13" t="s">
        <v>22</v>
      </c>
      <c r="D400" s="14"/>
      <c r="E400" s="9">
        <v>75</v>
      </c>
      <c r="F400" s="9">
        <f t="shared" si="14"/>
        <v>0</v>
      </c>
      <c r="G400" s="13"/>
      <c r="H400" s="14" t="str">
        <f>HYPERLINK("https://pulti.ua/tv/pult-dlja-myota-behold-china-tv-rc-005-silver")</f>
        <v>https://pulti.ua/tv/pult-dlja-myota-behold-china-tv-rc-005-silver</v>
      </c>
    </row>
    <row r="401" spans="1:8" s="18" customFormat="1" ht="15" customHeight="1">
      <c r="A401" s="39">
        <v>4114</v>
      </c>
      <c r="B401" s="26" t="s">
        <v>369</v>
      </c>
      <c r="C401" s="13" t="s">
        <v>14</v>
      </c>
      <c r="D401" s="14"/>
      <c r="E401" s="9">
        <v>146.3</v>
      </c>
      <c r="F401" s="9">
        <f t="shared" si="14"/>
        <v>0</v>
      </c>
      <c r="G401" s="13"/>
      <c r="H401" s="14" t="str">
        <f>HYPERLINK("https://pulti.ua/tv/pult-dlya-mystery-hof50d12")</f>
        <v>https://pulti.ua/tv/pult-dlya-mystery-hof50d12</v>
      </c>
    </row>
    <row r="402" spans="1:8" s="18" customFormat="1" ht="15" customHeight="1">
      <c r="A402" s="39">
        <v>2910</v>
      </c>
      <c r="B402" s="26" t="s">
        <v>370</v>
      </c>
      <c r="C402" s="13" t="s">
        <v>22</v>
      </c>
      <c r="D402" s="14"/>
      <c r="E402" s="9">
        <v>123.8</v>
      </c>
      <c r="F402" s="9">
        <f t="shared" si="14"/>
        <v>0</v>
      </c>
      <c r="G402" s="13"/>
      <c r="H402" s="14" t="str">
        <f>HYPERLINK("https://pulti.ua/tv/pult-dlja-mystery-kt6957")</f>
        <v>https://pulti.ua/tv/pult-dlja-mystery-kt6957</v>
      </c>
    </row>
    <row r="403" spans="1:8" s="18" customFormat="1" ht="15" customHeight="1">
      <c r="A403" s="39">
        <v>2911</v>
      </c>
      <c r="B403" s="26" t="s">
        <v>371</v>
      </c>
      <c r="C403" s="13" t="s">
        <v>22</v>
      </c>
      <c r="D403" s="14"/>
      <c r="E403" s="9">
        <v>48.8</v>
      </c>
      <c r="F403" s="9">
        <f t="shared" si="14"/>
        <v>0</v>
      </c>
      <c r="G403" s="13"/>
      <c r="H403" s="14" t="str">
        <f>HYPERLINK("https://pulti.ua/tv/pult-dlja-mystery-lcd-tv6")</f>
        <v>https://pulti.ua/tv/pult-dlja-mystery-lcd-tv6</v>
      </c>
    </row>
    <row r="404" spans="1:8" s="18" customFormat="1" ht="15" customHeight="1">
      <c r="A404" s="39">
        <v>2912</v>
      </c>
      <c r="B404" s="26" t="s">
        <v>372</v>
      </c>
      <c r="C404" s="13" t="s">
        <v>22</v>
      </c>
      <c r="D404" s="14"/>
      <c r="E404" s="9">
        <v>48.8</v>
      </c>
      <c r="F404" s="9">
        <f t="shared" si="14"/>
        <v>0</v>
      </c>
      <c r="G404" s="13"/>
      <c r="H404" s="14" t="str">
        <f>HYPERLINK("https://pulti.ua/tv/pult-dlja-mystery-mtv-1915wd")</f>
        <v>https://pulti.ua/tv/pult-dlja-mystery-mtv-1915wd</v>
      </c>
    </row>
    <row r="405" spans="1:8" s="18" customFormat="1" ht="15" customHeight="1">
      <c r="A405" s="39">
        <v>3267</v>
      </c>
      <c r="B405" s="26" t="s">
        <v>373</v>
      </c>
      <c r="C405" s="13" t="s">
        <v>22</v>
      </c>
      <c r="D405" s="14"/>
      <c r="E405" s="9">
        <v>64.9</v>
      </c>
      <c r="F405" s="9">
        <f t="shared" si="14"/>
        <v>0</v>
      </c>
      <c r="G405" s="13"/>
      <c r="H405" s="14" t="str">
        <f>HYPERLINK("https://pulti.ua/tv/pult-dlja-mystery-mtv-2622lw")</f>
        <v>https://pulti.ua/tv/pult-dlja-mystery-mtv-2622lw</v>
      </c>
    </row>
    <row r="406" spans="1:8" s="18" customFormat="1" ht="15" customHeight="1">
      <c r="A406" s="39">
        <v>3336</v>
      </c>
      <c r="B406" s="26" t="s">
        <v>374</v>
      </c>
      <c r="C406" s="13" t="s">
        <v>22</v>
      </c>
      <c r="D406" s="14"/>
      <c r="E406" s="9">
        <v>64.9</v>
      </c>
      <c r="F406" s="9">
        <f t="shared" si="14"/>
        <v>0</v>
      </c>
      <c r="G406" s="13"/>
      <c r="H406" s="14" t="str">
        <f>HYPERLINK("https://pulti.ua/tv/pult-dlja-mystery-mtv-3224lt2")</f>
        <v>https://pulti.ua/tv/pult-dlja-mystery-mtv-3224lt2</v>
      </c>
    </row>
    <row r="407" spans="1:8" s="18" customFormat="1" ht="15" customHeight="1">
      <c r="A407" s="11">
        <v>2913</v>
      </c>
      <c r="B407" s="12" t="s">
        <v>375</v>
      </c>
      <c r="C407" s="13" t="s">
        <v>22</v>
      </c>
      <c r="D407" s="14"/>
      <c r="E407" s="9">
        <v>78.8</v>
      </c>
      <c r="F407" s="9">
        <f t="shared" si="14"/>
        <v>0</v>
      </c>
      <c r="G407" s="13"/>
      <c r="H407" s="14" t="str">
        <f>HYPERLINK("https://pulti.ua/tv/pult-dlja-nokasonic-dns-119t")</f>
        <v>https://pulti.ua/tv/pult-dlja-nokasonic-dns-119t</v>
      </c>
    </row>
    <row r="408" spans="1:8" s="18" customFormat="1" ht="15" customHeight="1">
      <c r="A408" s="11">
        <v>2726</v>
      </c>
      <c r="B408" s="12" t="s">
        <v>376</v>
      </c>
      <c r="C408" s="13" t="s">
        <v>22</v>
      </c>
      <c r="D408" s="14"/>
      <c r="E408" s="9">
        <v>76.9</v>
      </c>
      <c r="F408" s="9">
        <f t="shared" si="14"/>
        <v>0</v>
      </c>
      <c r="G408" s="13"/>
      <c r="H408" s="14" t="str">
        <f>HYPERLINK("https://pulti.ua/tv/pult-dlja-nokasonic-lcd-838")</f>
        <v>https://pulti.ua/tv/pult-dlja-nokasonic-lcd-838</v>
      </c>
    </row>
    <row r="409" spans="1:8" s="18" customFormat="1" ht="15" customHeight="1">
      <c r="A409" s="11">
        <v>2725</v>
      </c>
      <c r="B409" s="12" t="s">
        <v>377</v>
      </c>
      <c r="C409" s="13" t="s">
        <v>22</v>
      </c>
      <c r="D409" s="14"/>
      <c r="E409" s="9">
        <v>93.8</v>
      </c>
      <c r="F409" s="9">
        <f t="shared" si="14"/>
        <v>0</v>
      </c>
      <c r="G409" s="13"/>
      <c r="H409" s="14" t="str">
        <f>HYPERLINK("https://pulti.ua/tv/pult-dlja-nokasonic-lcd-15")</f>
        <v>https://pulti.ua/tv/pult-dlja-nokasonic-lcd-15</v>
      </c>
    </row>
    <row r="410" spans="1:8" s="18" customFormat="1" ht="15" customHeight="1">
      <c r="A410" s="11">
        <v>2914</v>
      </c>
      <c r="B410" s="12" t="s">
        <v>378</v>
      </c>
      <c r="C410" s="13" t="s">
        <v>22</v>
      </c>
      <c r="D410" s="14"/>
      <c r="E410" s="9">
        <v>78.8</v>
      </c>
      <c r="F410" s="9">
        <f t="shared" si="14"/>
        <v>0</v>
      </c>
      <c r="G410" s="13"/>
      <c r="H410" s="14" t="str">
        <f>HYPERLINK("https://pulti.ua/tv/pult-dlja-nokasonic-ns-1505")</f>
        <v>https://pulti.ua/tv/pult-dlja-nokasonic-ns-1505</v>
      </c>
    </row>
    <row r="411" spans="1:8" s="18" customFormat="1" ht="15" customHeight="1">
      <c r="A411" s="39">
        <v>4263</v>
      </c>
      <c r="B411" s="26" t="s">
        <v>379</v>
      </c>
      <c r="C411" s="13" t="s">
        <v>14</v>
      </c>
      <c r="D411" s="15" t="s">
        <v>1349</v>
      </c>
      <c r="E411" s="9">
        <v>67.5</v>
      </c>
      <c r="F411" s="9"/>
      <c r="G411" s="13"/>
      <c r="H411" s="14" t="str">
        <f>HYPERLINK("https://pulti.ua/tv/pult-dlya-nomi-2300-ep0bnm")</f>
        <v>https://pulti.ua/tv/pult-dlya-nomi-2300-ep0bnm</v>
      </c>
    </row>
    <row r="412" spans="1:8" s="18" customFormat="1" ht="15" customHeight="1">
      <c r="A412" s="11">
        <v>2731</v>
      </c>
      <c r="B412" s="12" t="s">
        <v>380</v>
      </c>
      <c r="C412" s="13" t="s">
        <v>11</v>
      </c>
      <c r="D412" s="14"/>
      <c r="E412" s="9">
        <v>71.3</v>
      </c>
      <c r="F412" s="9">
        <f aca="true" t="shared" si="15" ref="F412:F475">D412*E412</f>
        <v>0</v>
      </c>
      <c r="G412" s="13"/>
      <c r="H412" s="14" t="str">
        <f>HYPERLINK("https://pulti.ua/tv/pult-dlja-onida-rc115a")</f>
        <v>https://pulti.ua/tv/pult-dlja-onida-rc115a</v>
      </c>
    </row>
    <row r="413" spans="1:8" s="18" customFormat="1" ht="15" customHeight="1">
      <c r="A413" s="39">
        <v>2854</v>
      </c>
      <c r="B413" s="26" t="s">
        <v>381</v>
      </c>
      <c r="C413" s="13" t="s">
        <v>11</v>
      </c>
      <c r="D413" s="14"/>
      <c r="E413" s="9">
        <v>97.5</v>
      </c>
      <c r="F413" s="9">
        <f t="shared" si="15"/>
        <v>0</v>
      </c>
      <c r="G413" s="13"/>
      <c r="H413" s="14" t="str">
        <f>HYPERLINK("https://pulti.ua/tv/pult-dlja-onwa-090-390303")</f>
        <v>https://pulti.ua/tv/pult-dlja-onwa-090-390303</v>
      </c>
    </row>
    <row r="414" spans="1:8" s="18" customFormat="1" ht="15" customHeight="1">
      <c r="A414" s="11">
        <v>2735</v>
      </c>
      <c r="B414" s="12" t="s">
        <v>382</v>
      </c>
      <c r="C414" s="13" t="s">
        <v>22</v>
      </c>
      <c r="D414" s="14"/>
      <c r="E414" s="9">
        <v>93.8</v>
      </c>
      <c r="F414" s="9">
        <f t="shared" si="15"/>
        <v>0</v>
      </c>
      <c r="G414" s="13"/>
      <c r="H414" s="14" t="str">
        <f>HYPERLINK("https://pulti.ua/tv/pult-dlja-opera-op-1026")</f>
        <v>https://pulti.ua/tv/pult-dlja-opera-op-1026</v>
      </c>
    </row>
    <row r="415" spans="1:8" s="18" customFormat="1" ht="15" customHeight="1">
      <c r="A415" s="11">
        <v>2916</v>
      </c>
      <c r="B415" s="12" t="s">
        <v>383</v>
      </c>
      <c r="C415" s="13" t="s">
        <v>22</v>
      </c>
      <c r="D415" s="14"/>
      <c r="E415" s="9">
        <v>78.8</v>
      </c>
      <c r="F415" s="9">
        <f t="shared" si="15"/>
        <v>0</v>
      </c>
      <c r="G415" s="13"/>
      <c r="H415" s="14" t="str">
        <f>HYPERLINK("https://pulti.ua/tv/pult-dlja-opera-op-1280d")</f>
        <v>https://pulti.ua/tv/pult-dlja-opera-op-1280d</v>
      </c>
    </row>
    <row r="416" spans="1:8" s="18" customFormat="1" ht="15" customHeight="1">
      <c r="A416" s="11">
        <v>2917</v>
      </c>
      <c r="B416" s="12" t="s">
        <v>384</v>
      </c>
      <c r="C416" s="13" t="s">
        <v>22</v>
      </c>
      <c r="D416" s="14"/>
      <c r="E416" s="9">
        <v>78.8</v>
      </c>
      <c r="F416" s="9">
        <f t="shared" si="15"/>
        <v>0</v>
      </c>
      <c r="G416" s="13"/>
      <c r="H416" s="14" t="str">
        <f>HYPERLINK("https://pulti.ua/tv/pult-dlja-opera-op-1680d")</f>
        <v>https://pulti.ua/tv/pult-dlja-opera-op-1680d</v>
      </c>
    </row>
    <row r="417" spans="1:8" s="18" customFormat="1" ht="15" customHeight="1">
      <c r="A417" s="11">
        <v>2918</v>
      </c>
      <c r="B417" s="12" t="s">
        <v>385</v>
      </c>
      <c r="C417" s="13" t="s">
        <v>22</v>
      </c>
      <c r="D417" s="14"/>
      <c r="E417" s="9">
        <v>78.8</v>
      </c>
      <c r="F417" s="9">
        <f t="shared" si="15"/>
        <v>0</v>
      </c>
      <c r="G417" s="13"/>
      <c r="H417" s="14" t="str">
        <f>HYPERLINK("https://pulti.ua/tv/pult-dlja-opera-op-707c")</f>
        <v>https://pulti.ua/tv/pult-dlja-opera-op-707c</v>
      </c>
    </row>
    <row r="418" spans="1:8" s="18" customFormat="1" ht="15" customHeight="1">
      <c r="A418" s="11">
        <v>2919</v>
      </c>
      <c r="B418" s="12" t="s">
        <v>386</v>
      </c>
      <c r="C418" s="13" t="s">
        <v>22</v>
      </c>
      <c r="D418" s="14"/>
      <c r="E418" s="9">
        <v>78.8</v>
      </c>
      <c r="F418" s="9">
        <f t="shared" si="15"/>
        <v>0</v>
      </c>
      <c r="G418" s="13"/>
      <c r="H418" s="14" t="str">
        <f>HYPERLINK("https://pulti.ua/tv/pult-dlja-opera-vt-1202bk")</f>
        <v>https://pulti.ua/tv/pult-dlja-opera-vt-1202bk</v>
      </c>
    </row>
    <row r="419" spans="1:8" s="18" customFormat="1" ht="15" customHeight="1">
      <c r="A419" s="11">
        <v>1408</v>
      </c>
      <c r="B419" s="12" t="s">
        <v>387</v>
      </c>
      <c r="C419" s="13" t="s">
        <v>11</v>
      </c>
      <c r="D419" s="14"/>
      <c r="E419" s="9">
        <v>63.8</v>
      </c>
      <c r="F419" s="9">
        <f t="shared" si="15"/>
        <v>0</v>
      </c>
      <c r="G419" s="13"/>
      <c r="H419" s="14" t="str">
        <f>HYPERLINK("https://pulti.ua/tv/pult-dlja-orion-076l052040")</f>
        <v>https://pulti.ua/tv/pult-dlja-orion-076l052040</v>
      </c>
    </row>
    <row r="420" spans="1:8" s="18" customFormat="1" ht="15" customHeight="1">
      <c r="A420" s="11">
        <v>1409</v>
      </c>
      <c r="B420" s="12" t="s">
        <v>388</v>
      </c>
      <c r="C420" s="13" t="s">
        <v>11</v>
      </c>
      <c r="D420" s="14"/>
      <c r="E420" s="9">
        <v>101.3</v>
      </c>
      <c r="F420" s="9">
        <f t="shared" si="15"/>
        <v>0</v>
      </c>
      <c r="G420" s="13"/>
      <c r="H420" s="14" t="str">
        <f>HYPERLINK("https://pulti.ua/tv/pult-dlja-orion-076l056150")</f>
        <v>https://pulti.ua/tv/pult-dlja-orion-076l056150</v>
      </c>
    </row>
    <row r="421" spans="1:8" s="18" customFormat="1" ht="15" customHeight="1">
      <c r="A421" s="11">
        <v>1411</v>
      </c>
      <c r="B421" s="12" t="s">
        <v>389</v>
      </c>
      <c r="C421" s="13" t="s">
        <v>11</v>
      </c>
      <c r="D421" s="14"/>
      <c r="E421" s="9">
        <v>82.5</v>
      </c>
      <c r="F421" s="9">
        <f t="shared" si="15"/>
        <v>0</v>
      </c>
      <c r="G421" s="13"/>
      <c r="H421" s="14" t="str">
        <f>HYPERLINK("https://pulti.ua/tv/pult-dlja-orion-076l067070")</f>
        <v>https://pulti.ua/tv/pult-dlja-orion-076l067070</v>
      </c>
    </row>
    <row r="422" spans="1:8" s="18" customFormat="1" ht="15" customHeight="1">
      <c r="A422" s="11">
        <v>1416</v>
      </c>
      <c r="B422" s="12" t="s">
        <v>390</v>
      </c>
      <c r="C422" s="13" t="s">
        <v>11</v>
      </c>
      <c r="D422" s="14"/>
      <c r="E422" s="9">
        <v>63.8</v>
      </c>
      <c r="F422" s="9">
        <f t="shared" si="15"/>
        <v>0</v>
      </c>
      <c r="G422" s="13"/>
      <c r="H422" s="14" t="str">
        <f>HYPERLINK("https://pulti.ua/tv/pult-dlja-orion-076l078090")</f>
        <v>https://pulti.ua/tv/pult-dlja-orion-076l078090</v>
      </c>
    </row>
    <row r="423" spans="1:8" s="18" customFormat="1" ht="15" customHeight="1">
      <c r="A423" s="11">
        <v>1417</v>
      </c>
      <c r="B423" s="12" t="s">
        <v>391</v>
      </c>
      <c r="C423" s="13" t="s">
        <v>11</v>
      </c>
      <c r="D423" s="14"/>
      <c r="E423" s="9">
        <v>82.5</v>
      </c>
      <c r="F423" s="9">
        <f t="shared" si="15"/>
        <v>0</v>
      </c>
      <c r="G423" s="13"/>
      <c r="H423" s="14" t="str">
        <f>HYPERLINK("https://pulti.ua/tv/pult-dlja-orion-076n0ge030")</f>
        <v>https://pulti.ua/tv/pult-dlja-orion-076n0ge030</v>
      </c>
    </row>
    <row r="424" spans="1:8" s="18" customFormat="1" ht="15" customHeight="1">
      <c r="A424" s="11">
        <v>1418</v>
      </c>
      <c r="B424" s="12" t="s">
        <v>392</v>
      </c>
      <c r="C424" s="13" t="s">
        <v>11</v>
      </c>
      <c r="D424" s="14"/>
      <c r="E424" s="9">
        <v>101.3</v>
      </c>
      <c r="F424" s="9">
        <f t="shared" si="15"/>
        <v>0</v>
      </c>
      <c r="G424" s="13"/>
      <c r="H424" s="14" t="str">
        <f>HYPERLINK("https://pulti.ua/tv/pult-dlja-orion-076rap010")</f>
        <v>https://pulti.ua/tv/pult-dlja-orion-076rap010</v>
      </c>
    </row>
    <row r="425" spans="1:8" s="18" customFormat="1" ht="15" customHeight="1">
      <c r="A425" s="11">
        <v>1419</v>
      </c>
      <c r="B425" s="12" t="s">
        <v>393</v>
      </c>
      <c r="C425" s="13" t="s">
        <v>11</v>
      </c>
      <c r="D425" s="14"/>
      <c r="E425" s="9">
        <v>63.8</v>
      </c>
      <c r="F425" s="9">
        <f t="shared" si="15"/>
        <v>0</v>
      </c>
      <c r="G425" s="13"/>
      <c r="H425" s="14" t="str">
        <f>HYPERLINK("https://pulti.ua/tv/pult-dlja-orion-076robr010")</f>
        <v>https://pulti.ua/tv/pult-dlja-orion-076robr010</v>
      </c>
    </row>
    <row r="426" spans="1:8" s="18" customFormat="1" ht="15" customHeight="1">
      <c r="A426" s="11">
        <v>1420</v>
      </c>
      <c r="B426" s="12" t="s">
        <v>394</v>
      </c>
      <c r="C426" s="13" t="s">
        <v>11</v>
      </c>
      <c r="D426" s="14"/>
      <c r="E426" s="9">
        <v>63.8</v>
      </c>
      <c r="F426" s="9">
        <f t="shared" si="15"/>
        <v>0</v>
      </c>
      <c r="G426" s="13"/>
      <c r="H426" s="14" t="str">
        <f>HYPERLINK("https://pulti.ua/tv/pult-dlja-orion-076robr020")</f>
        <v>https://pulti.ua/tv/pult-dlja-orion-076robr020</v>
      </c>
    </row>
    <row r="427" spans="1:8" s="18" customFormat="1" ht="15" customHeight="1">
      <c r="A427" s="39">
        <v>1423</v>
      </c>
      <c r="B427" s="26" t="s">
        <v>395</v>
      </c>
      <c r="C427" s="13" t="s">
        <v>11</v>
      </c>
      <c r="D427" s="14"/>
      <c r="E427" s="9">
        <v>56.3</v>
      </c>
      <c r="F427" s="9">
        <f t="shared" si="15"/>
        <v>0</v>
      </c>
      <c r="G427" s="13"/>
      <c r="H427" s="14" t="str">
        <f>HYPERLINK("https://pulti.ua/tv/pult-dlja-orion-kj-phea2-44-ic")</f>
        <v>https://pulti.ua/tv/pult-dlja-orion-kj-phea2-44-ic</v>
      </c>
    </row>
    <row r="428" spans="1:8" s="18" customFormat="1" ht="15" customHeight="1">
      <c r="A428" s="11">
        <v>1424</v>
      </c>
      <c r="B428" s="12" t="s">
        <v>396</v>
      </c>
      <c r="C428" s="13" t="s">
        <v>397</v>
      </c>
      <c r="D428" s="14"/>
      <c r="E428" s="9">
        <v>82.5</v>
      </c>
      <c r="F428" s="9">
        <f t="shared" si="15"/>
        <v>0</v>
      </c>
      <c r="G428" s="13"/>
      <c r="H428" s="14" t="str">
        <f>HYPERLINK("https://pulti.ua/tv/pult-dlja-orion-lcd2020")</f>
        <v>https://pulti.ua/tv/pult-dlja-orion-lcd2020</v>
      </c>
    </row>
    <row r="429" spans="1:8" s="18" customFormat="1" ht="15" customHeight="1">
      <c r="A429" s="39">
        <v>3039</v>
      </c>
      <c r="B429" s="26" t="s">
        <v>398</v>
      </c>
      <c r="C429" s="13" t="s">
        <v>14</v>
      </c>
      <c r="D429" s="14"/>
      <c r="E429" s="9">
        <v>75</v>
      </c>
      <c r="F429" s="9">
        <f t="shared" si="15"/>
        <v>0</v>
      </c>
      <c r="G429" s="13"/>
      <c r="H429" s="14" t="str">
        <f>HYPERLINK("https://pulti.ua/tv/pult-dlja-orion-led1541-ic")</f>
        <v>https://pulti.ua/tv/pult-dlja-orion-led1541-ic</v>
      </c>
    </row>
    <row r="430" spans="1:8" s="18" customFormat="1" ht="15" customHeight="1">
      <c r="A430" s="39">
        <v>3519</v>
      </c>
      <c r="B430" s="26" t="s">
        <v>399</v>
      </c>
      <c r="C430" s="13" t="s">
        <v>14</v>
      </c>
      <c r="D430" s="14"/>
      <c r="E430" s="9">
        <v>116.3</v>
      </c>
      <c r="F430" s="9">
        <f t="shared" si="15"/>
        <v>0</v>
      </c>
      <c r="G430" s="13"/>
      <c r="H430" s="14" t="str">
        <f>HYPERLINK("https://pulti.ua/tv/pult-dlja-orion-led2643")</f>
        <v>https://pulti.ua/tv/pult-dlja-orion-led2643</v>
      </c>
    </row>
    <row r="431" spans="1:8" s="18" customFormat="1" ht="15" customHeight="1">
      <c r="A431" s="39">
        <v>3528</v>
      </c>
      <c r="B431" s="26" t="s">
        <v>400</v>
      </c>
      <c r="C431" s="13" t="s">
        <v>11</v>
      </c>
      <c r="D431" s="14"/>
      <c r="E431" s="9">
        <v>56.3</v>
      </c>
      <c r="F431" s="9">
        <f t="shared" si="15"/>
        <v>0</v>
      </c>
      <c r="G431" s="13"/>
      <c r="H431" s="14" t="str">
        <f>HYPERLINK("https://pulti.ua/tv/pult-dlja-orion-lt-002a-ic")</f>
        <v>https://pulti.ua/tv/pult-dlja-orion-lt-002a-ic</v>
      </c>
    </row>
    <row r="432" spans="1:8" s="18" customFormat="1" ht="15" customHeight="1">
      <c r="A432" s="39">
        <v>3939</v>
      </c>
      <c r="B432" s="26" t="s">
        <v>401</v>
      </c>
      <c r="C432" s="13" t="s">
        <v>14</v>
      </c>
      <c r="D432" s="14"/>
      <c r="E432" s="9">
        <v>90</v>
      </c>
      <c r="F432" s="9">
        <f t="shared" si="15"/>
        <v>0</v>
      </c>
      <c r="G432" s="13"/>
      <c r="H432" s="14" t="str">
        <f>HYPERLINK("https://pulti.ua/tv/pult-dlja-orion-olt-28202")</f>
        <v>https://pulti.ua/tv/pult-dlja-orion-olt-28202</v>
      </c>
    </row>
    <row r="433" spans="1:8" s="18" customFormat="1" ht="15" customHeight="1">
      <c r="A433" s="39">
        <v>1426</v>
      </c>
      <c r="B433" s="26" t="s">
        <v>402</v>
      </c>
      <c r="C433" s="13" t="s">
        <v>22</v>
      </c>
      <c r="D433" s="14"/>
      <c r="E433" s="9">
        <v>71.3</v>
      </c>
      <c r="F433" s="9">
        <f t="shared" si="15"/>
        <v>0</v>
      </c>
      <c r="G433" s="13"/>
      <c r="H433" s="14" t="str">
        <f>HYPERLINK("https://pulti.ua/tv/pult-dlja-orion-or-lcd1-lcd2016")</f>
        <v>https://pulti.ua/tv/pult-dlja-orion-or-lcd1-lcd2016</v>
      </c>
    </row>
    <row r="434" spans="1:8" s="18" customFormat="1" ht="15" customHeight="1">
      <c r="A434" s="39">
        <v>1427</v>
      </c>
      <c r="B434" s="26" t="s">
        <v>403</v>
      </c>
      <c r="C434" s="13" t="s">
        <v>22</v>
      </c>
      <c r="D434" s="14"/>
      <c r="E434" s="9">
        <v>82.5</v>
      </c>
      <c r="F434" s="9">
        <f t="shared" si="15"/>
        <v>0</v>
      </c>
      <c r="G434" s="13"/>
      <c r="H434" s="14" t="str">
        <f>HYPERLINK("https://pulti.ua/tv/pult-dlja-orion-or-lcd2-input-lcd1922")</f>
        <v>https://pulti.ua/tv/pult-dlja-orion-or-lcd2-input-lcd1922</v>
      </c>
    </row>
    <row r="435" spans="1:8" s="18" customFormat="1" ht="15" customHeight="1">
      <c r="A435" s="11">
        <v>1428</v>
      </c>
      <c r="B435" s="12" t="s">
        <v>404</v>
      </c>
      <c r="C435" s="13" t="s">
        <v>11</v>
      </c>
      <c r="D435" s="14"/>
      <c r="E435" s="9">
        <v>58.1</v>
      </c>
      <c r="F435" s="9">
        <f t="shared" si="15"/>
        <v>0</v>
      </c>
      <c r="G435" s="13"/>
      <c r="H435" s="14" t="str">
        <f>HYPERLINK("https://pulti.ua/tv/pult-dlja-orion-pt2461-103")</f>
        <v>https://pulti.ua/tv/pult-dlja-orion-pt2461-103</v>
      </c>
    </row>
    <row r="436" spans="1:8" s="18" customFormat="1" ht="15" customHeight="1">
      <c r="A436" s="39">
        <v>3230</v>
      </c>
      <c r="B436" s="26" t="s">
        <v>405</v>
      </c>
      <c r="C436" s="13" t="s">
        <v>11</v>
      </c>
      <c r="D436" s="14"/>
      <c r="E436" s="9">
        <v>67.5</v>
      </c>
      <c r="F436" s="9">
        <f t="shared" si="15"/>
        <v>0</v>
      </c>
      <c r="G436" s="13"/>
      <c r="H436" s="14" t="str">
        <f>HYPERLINK("https://pulti.ua/tv/pult-dlja-orion-pt2461-103-ic")</f>
        <v>https://pulti.ua/tv/pult-dlja-orion-pt2461-103-ic</v>
      </c>
    </row>
    <row r="437" spans="1:8" s="18" customFormat="1" ht="15" customHeight="1">
      <c r="A437" s="11">
        <v>1430</v>
      </c>
      <c r="B437" s="12" t="s">
        <v>406</v>
      </c>
      <c r="C437" s="13" t="s">
        <v>11</v>
      </c>
      <c r="D437" s="14"/>
      <c r="E437" s="9">
        <v>63.8</v>
      </c>
      <c r="F437" s="9">
        <f t="shared" si="15"/>
        <v>0</v>
      </c>
      <c r="G437" s="13"/>
      <c r="H437" s="14" t="str">
        <f>HYPERLINK("https://pulti.ua/tv/pult-dlja-orion-rc-2028")</f>
        <v>https://pulti.ua/tv/pult-dlja-orion-rc-2028</v>
      </c>
    </row>
    <row r="438" spans="1:8" s="18" customFormat="1" ht="15" customHeight="1">
      <c r="A438" s="39">
        <v>3527</v>
      </c>
      <c r="B438" s="26" t="s">
        <v>407</v>
      </c>
      <c r="C438" s="13" t="s">
        <v>11</v>
      </c>
      <c r="D438" s="14"/>
      <c r="E438" s="9">
        <v>63.8</v>
      </c>
      <c r="F438" s="9">
        <f t="shared" si="15"/>
        <v>0</v>
      </c>
      <c r="G438" s="13"/>
      <c r="H438" s="14" t="str">
        <f>HYPERLINK("https://pulti.ua/tv/pult-dlja-orion-rc-544-ic")</f>
        <v>https://pulti.ua/tv/pult-dlja-orion-rc-544-ic</v>
      </c>
    </row>
    <row r="439" spans="1:8" s="18" customFormat="1" ht="15" customHeight="1">
      <c r="A439" s="11">
        <v>1434</v>
      </c>
      <c r="B439" s="12" t="s">
        <v>408</v>
      </c>
      <c r="C439" s="13" t="s">
        <v>11</v>
      </c>
      <c r="D439" s="14"/>
      <c r="E439" s="9">
        <v>63.8</v>
      </c>
      <c r="F439" s="9">
        <f t="shared" si="15"/>
        <v>0</v>
      </c>
      <c r="G439" s="13"/>
      <c r="H439" s="14" t="str">
        <f>HYPERLINK("https://pulti.ua/tv/pult-dlja-orion-rc-5691")</f>
        <v>https://pulti.ua/tv/pult-dlja-orion-rc-5691</v>
      </c>
    </row>
    <row r="440" spans="1:8" s="18" customFormat="1" ht="15" customHeight="1">
      <c r="A440" s="39">
        <v>1437</v>
      </c>
      <c r="B440" s="26" t="s">
        <v>409</v>
      </c>
      <c r="C440" s="13" t="s">
        <v>11</v>
      </c>
      <c r="D440" s="14"/>
      <c r="E440" s="9">
        <v>67.5</v>
      </c>
      <c r="F440" s="9">
        <f t="shared" si="15"/>
        <v>0</v>
      </c>
      <c r="G440" s="13"/>
      <c r="H440" s="14" t="str">
        <f>HYPERLINK("https://pulti.ua/tv/pult-dlja-orion-rc-r10-0a-prima")</f>
        <v>https://pulti.ua/tv/pult-dlja-orion-rc-r10-0a-prima</v>
      </c>
    </row>
    <row r="441" spans="1:8" s="18" customFormat="1" ht="15" customHeight="1">
      <c r="A441" s="11">
        <v>1438</v>
      </c>
      <c r="B441" s="12" t="s">
        <v>410</v>
      </c>
      <c r="C441" s="13" t="s">
        <v>11</v>
      </c>
      <c r="D441" s="14"/>
      <c r="E441" s="9">
        <v>108.8</v>
      </c>
      <c r="F441" s="9">
        <f t="shared" si="15"/>
        <v>0</v>
      </c>
      <c r="G441" s="13"/>
      <c r="H441" s="14" t="str">
        <f>HYPERLINK("https://pulti.ua/tv/pult-dlja--orion-rcs21-0c")</f>
        <v>https://pulti.ua/tv/pult-dlja--orion-rcs21-0c</v>
      </c>
    </row>
    <row r="442" spans="1:8" s="18" customFormat="1" ht="15" customHeight="1">
      <c r="A442" s="39">
        <v>4433</v>
      </c>
      <c r="B442" s="26" t="s">
        <v>411</v>
      </c>
      <c r="C442" s="13" t="s">
        <v>14</v>
      </c>
      <c r="D442" s="14"/>
      <c r="E442" s="9">
        <v>101.3</v>
      </c>
      <c r="F442" s="9">
        <f t="shared" si="15"/>
        <v>0</v>
      </c>
      <c r="G442" s="13"/>
      <c r="H442" s="14" t="str">
        <f>HYPERLINK("https://pulti.ua/tv/pult-dlya-orion-rs41c0-play-pause")</f>
        <v>https://pulti.ua/tv/pult-dlya-orion-rs41c0-play-pause</v>
      </c>
    </row>
    <row r="443" spans="1:8" s="18" customFormat="1" ht="15" customHeight="1">
      <c r="A443" s="39">
        <v>2872</v>
      </c>
      <c r="B443" s="26" t="s">
        <v>412</v>
      </c>
      <c r="C443" s="13" t="s">
        <v>11</v>
      </c>
      <c r="D443" s="14"/>
      <c r="E443" s="9">
        <v>54.4</v>
      </c>
      <c r="F443" s="9">
        <f t="shared" si="15"/>
        <v>0</v>
      </c>
      <c r="G443" s="13"/>
      <c r="H443" s="14" t="str">
        <f>HYPERLINK("https://pulti.ua/tv/pult-dlja-orion-spp1437-ic")</f>
        <v>https://pulti.ua/tv/pult-dlja-orion-spp1437-ic</v>
      </c>
    </row>
    <row r="444" spans="1:8" s="18" customFormat="1" ht="15" customHeight="1">
      <c r="A444" s="11">
        <v>3041</v>
      </c>
      <c r="B444" s="12" t="s">
        <v>413</v>
      </c>
      <c r="C444" s="13" t="s">
        <v>11</v>
      </c>
      <c r="D444" s="14"/>
      <c r="E444" s="9">
        <v>63.8</v>
      </c>
      <c r="F444" s="9">
        <f t="shared" si="15"/>
        <v>0</v>
      </c>
      <c r="G444" s="13"/>
      <c r="H444" s="14" t="str">
        <f>HYPERLINK("https://pulti.ua/tv/pult-dlja-orion-spp2932fl")</f>
        <v>https://pulti.ua/tv/pult-dlja-orion-spp2932fl</v>
      </c>
    </row>
    <row r="445" spans="1:8" s="18" customFormat="1" ht="15" customHeight="1">
      <c r="A445" s="11">
        <v>1439</v>
      </c>
      <c r="B445" s="12" t="s">
        <v>414</v>
      </c>
      <c r="C445" s="13" t="s">
        <v>11</v>
      </c>
      <c r="D445" s="14"/>
      <c r="E445" s="9">
        <v>67.5</v>
      </c>
      <c r="F445" s="9">
        <f t="shared" si="15"/>
        <v>0</v>
      </c>
      <c r="G445" s="13"/>
      <c r="H445" s="14" t="str">
        <f>HYPERLINK("https://pulti.ua/tv/pult-dlja-orion-wh-9012")</f>
        <v>https://pulti.ua/tv/pult-dlja-orion-wh-9012</v>
      </c>
    </row>
    <row r="446" spans="1:8" s="18" customFormat="1" ht="15" customHeight="1">
      <c r="A446" s="11">
        <v>1422</v>
      </c>
      <c r="B446" s="12" t="s">
        <v>415</v>
      </c>
      <c r="C446" s="13" t="s">
        <v>11</v>
      </c>
      <c r="D446" s="14"/>
      <c r="E446" s="9">
        <v>71.3</v>
      </c>
      <c r="F446" s="9">
        <f t="shared" si="15"/>
        <v>0</v>
      </c>
      <c r="G446" s="13"/>
      <c r="H446" s="14" t="str">
        <f>HYPERLINK("https://pulti.ua/tv/pult-dlja-orion-konka-rc-or-spp1424")</f>
        <v>https://pulti.ua/tv/pult-dlja-orion-konka-rc-or-spp1424</v>
      </c>
    </row>
    <row r="447" spans="1:8" s="18" customFormat="1" ht="15" customHeight="1">
      <c r="A447" s="11">
        <v>4574</v>
      </c>
      <c r="B447" s="12" t="s">
        <v>416</v>
      </c>
      <c r="C447" s="13" t="s">
        <v>14</v>
      </c>
      <c r="D447" s="14"/>
      <c r="E447" s="9">
        <v>68.3</v>
      </c>
      <c r="F447" s="9">
        <f t="shared" si="15"/>
        <v>0</v>
      </c>
      <c r="G447" s="13"/>
      <c r="H447" s="14" t="str">
        <f>HYPERLINK("https://pulti.ua/tv/pult-dlya-ozone-32hn82t2")</f>
        <v>https://pulti.ua/tv/pult-dlya-ozone-32hn82t2</v>
      </c>
    </row>
    <row r="448" spans="1:8" s="18" customFormat="1" ht="15" customHeight="1">
      <c r="A448" s="11">
        <v>1448</v>
      </c>
      <c r="B448" s="12" t="s">
        <v>417</v>
      </c>
      <c r="C448" s="13" t="s">
        <v>11</v>
      </c>
      <c r="D448" s="14"/>
      <c r="E448" s="9">
        <v>48</v>
      </c>
      <c r="F448" s="9">
        <f t="shared" si="15"/>
        <v>0</v>
      </c>
      <c r="G448" s="13"/>
      <c r="H448" s="14" t="str">
        <f>HYPERLINK("https://pulti.ua/tv/pult-dlja-panasonic-eur501310")</f>
        <v>https://pulti.ua/tv/pult-dlja-panasonic-eur501310</v>
      </c>
    </row>
    <row r="449" spans="1:8" s="18" customFormat="1" ht="15" customHeight="1">
      <c r="A449" s="39">
        <v>2876</v>
      </c>
      <c r="B449" s="26" t="s">
        <v>418</v>
      </c>
      <c r="C449" s="13" t="s">
        <v>11</v>
      </c>
      <c r="D449" s="14"/>
      <c r="E449" s="9">
        <v>54.4</v>
      </c>
      <c r="F449" s="9">
        <f t="shared" si="15"/>
        <v>0</v>
      </c>
      <c r="G449" s="13"/>
      <c r="H449" s="14" t="str">
        <f>HYPERLINK("https://pulti.ua/tv/pult-dlja-panasonic-eur501310-ic")</f>
        <v>https://pulti.ua/tv/pult-dlja-panasonic-eur501310-ic</v>
      </c>
    </row>
    <row r="450" spans="1:8" s="18" customFormat="1" ht="15" customHeight="1">
      <c r="A450" s="11">
        <v>1452</v>
      </c>
      <c r="B450" s="12" t="s">
        <v>419</v>
      </c>
      <c r="C450" s="13" t="s">
        <v>11</v>
      </c>
      <c r="D450" s="14"/>
      <c r="E450" s="9">
        <v>50.6</v>
      </c>
      <c r="F450" s="9">
        <f t="shared" si="15"/>
        <v>0</v>
      </c>
      <c r="G450" s="13"/>
      <c r="H450" s="14" t="str">
        <f>HYPERLINK("https://pulti.ua/tv/pult-dlja-panasonic-eur501325")</f>
        <v>https://pulti.ua/tv/pult-dlja-panasonic-eur501325</v>
      </c>
    </row>
    <row r="451" spans="1:8" s="18" customFormat="1" ht="15" customHeight="1">
      <c r="A451" s="39">
        <v>2877</v>
      </c>
      <c r="B451" s="26" t="s">
        <v>420</v>
      </c>
      <c r="C451" s="13" t="s">
        <v>11</v>
      </c>
      <c r="D451" s="14"/>
      <c r="E451" s="9">
        <v>60</v>
      </c>
      <c r="F451" s="9">
        <f t="shared" si="15"/>
        <v>0</v>
      </c>
      <c r="G451" s="13"/>
      <c r="H451" s="14" t="str">
        <f>HYPERLINK("https://pulti.ua/tv/pult-dlja-panasonic-eur501325-ic")</f>
        <v>https://pulti.ua/tv/pult-dlja-panasonic-eur501325-ic</v>
      </c>
    </row>
    <row r="452" spans="1:8" s="18" customFormat="1" ht="15" customHeight="1">
      <c r="A452" s="11">
        <v>1454</v>
      </c>
      <c r="B452" s="12" t="s">
        <v>421</v>
      </c>
      <c r="C452" s="13" t="s">
        <v>11</v>
      </c>
      <c r="D452" s="14"/>
      <c r="E452" s="9">
        <v>49.5</v>
      </c>
      <c r="F452" s="9">
        <f t="shared" si="15"/>
        <v>0</v>
      </c>
      <c r="G452" s="13"/>
      <c r="H452" s="14" t="str">
        <f>HYPERLINK("https://pulti.ua/tv/pult-dlja-panasonic-eur501380")</f>
        <v>https://pulti.ua/tv/pult-dlja-panasonic-eur501380</v>
      </c>
    </row>
    <row r="453" spans="1:8" s="18" customFormat="1" ht="15" customHeight="1">
      <c r="A453" s="39">
        <v>3232</v>
      </c>
      <c r="B453" s="26" t="s">
        <v>422</v>
      </c>
      <c r="C453" s="13" t="s">
        <v>11</v>
      </c>
      <c r="D453" s="14"/>
      <c r="E453" s="9">
        <v>56.3</v>
      </c>
      <c r="F453" s="9">
        <f t="shared" si="15"/>
        <v>0</v>
      </c>
      <c r="G453" s="13"/>
      <c r="H453" s="14" t="str">
        <f>HYPERLINK("https://pulti.ua/tv/pult-dlja-panasonic-eur501380-ic")</f>
        <v>https://pulti.ua/tv/pult-dlja-panasonic-eur501380-ic</v>
      </c>
    </row>
    <row r="454" spans="1:8" s="18" customFormat="1" ht="15" customHeight="1">
      <c r="A454" s="39">
        <v>3746</v>
      </c>
      <c r="B454" s="26" t="s">
        <v>423</v>
      </c>
      <c r="C454" s="13" t="s">
        <v>11</v>
      </c>
      <c r="D454" s="14"/>
      <c r="E454" s="9">
        <v>54.4</v>
      </c>
      <c r="F454" s="9">
        <f t="shared" si="15"/>
        <v>0</v>
      </c>
      <c r="G454" s="13"/>
      <c r="H454" s="14" t="str">
        <f>HYPERLINK("https://pulti.ua/tv/pult-dlja-ic-panasonic-eur501380-grey-ic")</f>
        <v>https://pulti.ua/tv/pult-dlja-ic-panasonic-eur501380-grey-ic</v>
      </c>
    </row>
    <row r="455" spans="1:8" s="18" customFormat="1" ht="15" customHeight="1">
      <c r="A455" s="11">
        <v>1456</v>
      </c>
      <c r="B455" s="12" t="s">
        <v>424</v>
      </c>
      <c r="C455" s="13" t="s">
        <v>11</v>
      </c>
      <c r="D455" s="14"/>
      <c r="E455" s="9">
        <v>52.5</v>
      </c>
      <c r="F455" s="9">
        <f t="shared" si="15"/>
        <v>0</v>
      </c>
      <c r="G455" s="13"/>
      <c r="H455" s="14" t="str">
        <f>HYPERLINK("https://pulti.ua/tv/pult-dlja-panasonic-eur501390")</f>
        <v>https://pulti.ua/tv/pult-dlja-panasonic-eur501390</v>
      </c>
    </row>
    <row r="456" spans="1:8" s="18" customFormat="1" ht="15" customHeight="1">
      <c r="A456" s="11">
        <v>1457</v>
      </c>
      <c r="B456" s="12" t="s">
        <v>425</v>
      </c>
      <c r="C456" s="13" t="s">
        <v>186</v>
      </c>
      <c r="D456" s="14"/>
      <c r="E456" s="9">
        <v>86.3</v>
      </c>
      <c r="F456" s="9">
        <f t="shared" si="15"/>
        <v>0</v>
      </c>
      <c r="G456" s="13"/>
      <c r="H456" s="14" t="str">
        <f>HYPERLINK("https://pulti.ua/tv/pult-dlja-panasonic-eur50701")</f>
        <v>https://pulti.ua/tv/pult-dlja-panasonic-eur50701</v>
      </c>
    </row>
    <row r="457" spans="1:8" s="18" customFormat="1" ht="15" customHeight="1">
      <c r="A457" s="11">
        <v>1475</v>
      </c>
      <c r="B457" s="12" t="s">
        <v>426</v>
      </c>
      <c r="C457" s="13" t="s">
        <v>186</v>
      </c>
      <c r="D457" s="14"/>
      <c r="E457" s="9">
        <v>59.3</v>
      </c>
      <c r="F457" s="9">
        <f t="shared" si="15"/>
        <v>0</v>
      </c>
      <c r="G457" s="13"/>
      <c r="H457" s="14" t="str">
        <f>HYPERLINK("https://pulti.ua/tv/pult-dlja-panasonic-eur511300")</f>
        <v>https://pulti.ua/tv/pult-dlja-panasonic-eur511300</v>
      </c>
    </row>
    <row r="458" spans="1:8" s="18" customFormat="1" ht="15" customHeight="1">
      <c r="A458" s="11">
        <v>1462</v>
      </c>
      <c r="B458" s="12" t="s">
        <v>427</v>
      </c>
      <c r="C458" s="13" t="s">
        <v>186</v>
      </c>
      <c r="D458" s="14"/>
      <c r="E458" s="9">
        <v>45</v>
      </c>
      <c r="F458" s="9">
        <f t="shared" si="15"/>
        <v>0</v>
      </c>
      <c r="G458" s="13"/>
      <c r="H458" s="14" t="str">
        <f>HYPERLINK("https://pulti.ua/tv/pult-dlja-panasonic--eur51912")</f>
        <v>https://pulti.ua/tv/pult-dlja-panasonic--eur51912</v>
      </c>
    </row>
    <row r="459" spans="1:8" s="18" customFormat="1" ht="15" customHeight="1">
      <c r="A459" s="11">
        <v>1466</v>
      </c>
      <c r="B459" s="12" t="s">
        <v>428</v>
      </c>
      <c r="C459" s="13" t="s">
        <v>186</v>
      </c>
      <c r="D459" s="14"/>
      <c r="E459" s="9">
        <v>56.3</v>
      </c>
      <c r="F459" s="9">
        <f t="shared" si="15"/>
        <v>0</v>
      </c>
      <c r="G459" s="13"/>
      <c r="H459" s="14" t="str">
        <f>HYPERLINK("https://pulti.ua/tv/pult-dlja-panasonic-eur51931")</f>
        <v>https://pulti.ua/tv/pult-dlja-panasonic-eur51931</v>
      </c>
    </row>
    <row r="460" spans="1:8" s="18" customFormat="1" ht="15" customHeight="1">
      <c r="A460" s="11">
        <v>1467</v>
      </c>
      <c r="B460" s="12" t="s">
        <v>429</v>
      </c>
      <c r="C460" s="13" t="s">
        <v>186</v>
      </c>
      <c r="D460" s="14"/>
      <c r="E460" s="9">
        <v>67.5</v>
      </c>
      <c r="F460" s="9">
        <f t="shared" si="15"/>
        <v>0</v>
      </c>
      <c r="G460" s="13"/>
      <c r="H460" s="14" t="str">
        <f>HYPERLINK("https://pulti.ua/tv/pult-dlja-panasonic-eur51970")</f>
        <v>https://pulti.ua/tv/pult-dlja-panasonic-eur51970</v>
      </c>
    </row>
    <row r="461" spans="1:8" s="18" customFormat="1" ht="15" customHeight="1">
      <c r="A461" s="39">
        <v>1481</v>
      </c>
      <c r="B461" s="26" t="s">
        <v>430</v>
      </c>
      <c r="C461" s="13" t="s">
        <v>11</v>
      </c>
      <c r="D461" s="14"/>
      <c r="E461" s="9">
        <v>63.8</v>
      </c>
      <c r="F461" s="9">
        <f t="shared" si="15"/>
        <v>0</v>
      </c>
      <c r="G461" s="13"/>
      <c r="H461" s="14" t="str">
        <f>HYPERLINK("https://pulti.ua/tv/pult-dlja-panasonic-eur646925")</f>
        <v>https://pulti.ua/tv/pult-dlja-panasonic-eur646925</v>
      </c>
    </row>
    <row r="462" spans="1:8" s="18" customFormat="1" ht="15" customHeight="1">
      <c r="A462" s="39">
        <v>1487</v>
      </c>
      <c r="B462" s="26" t="s">
        <v>432</v>
      </c>
      <c r="C462" s="13" t="s">
        <v>22</v>
      </c>
      <c r="D462" s="14"/>
      <c r="E462" s="9">
        <v>97.5</v>
      </c>
      <c r="F462" s="9">
        <f t="shared" si="15"/>
        <v>0</v>
      </c>
      <c r="G462" s="13"/>
      <c r="H462" s="14" t="str">
        <f>HYPERLINK("https://pulti.ua/tv/pult-dlja-panasonic-eur7635040")</f>
        <v>https://pulti.ua/tv/pult-dlja-panasonic-eur7635040</v>
      </c>
    </row>
    <row r="463" spans="1:8" s="18" customFormat="1" ht="15" customHeight="1">
      <c r="A463" s="39">
        <v>1488</v>
      </c>
      <c r="B463" s="26" t="s">
        <v>433</v>
      </c>
      <c r="C463" s="13" t="s">
        <v>22</v>
      </c>
      <c r="D463" s="14"/>
      <c r="E463" s="9">
        <v>123.8</v>
      </c>
      <c r="F463" s="9">
        <f t="shared" si="15"/>
        <v>0</v>
      </c>
      <c r="G463" s="13"/>
      <c r="H463" s="14" t="str">
        <f>HYPERLINK("https://pulti.ua/tv/pult-dlja-panasonic-eur7635050")</f>
        <v>https://pulti.ua/tv/pult-dlja-panasonic-eur7635050</v>
      </c>
    </row>
    <row r="464" spans="1:8" s="18" customFormat="1" ht="15" customHeight="1">
      <c r="A464" s="39">
        <v>1489</v>
      </c>
      <c r="B464" s="26" t="s">
        <v>434</v>
      </c>
      <c r="C464" s="13" t="s">
        <v>22</v>
      </c>
      <c r="D464" s="14"/>
      <c r="E464" s="9">
        <v>82.9</v>
      </c>
      <c r="F464" s="9">
        <f t="shared" si="15"/>
        <v>0</v>
      </c>
      <c r="G464" s="13"/>
      <c r="H464" s="14" t="str">
        <f>HYPERLINK("https://pulti.ua/tv/pult-dlja-panasonic-eur7651030a-ic")</f>
        <v>https://pulti.ua/tv/pult-dlja-panasonic-eur7651030a-ic</v>
      </c>
    </row>
    <row r="465" spans="1:8" s="18" customFormat="1" ht="15" customHeight="1">
      <c r="A465" s="39">
        <v>1491</v>
      </c>
      <c r="B465" s="26" t="s">
        <v>435</v>
      </c>
      <c r="C465" s="13" t="s">
        <v>22</v>
      </c>
      <c r="D465" s="14"/>
      <c r="E465" s="9">
        <v>97.5</v>
      </c>
      <c r="F465" s="9">
        <f t="shared" si="15"/>
        <v>0</v>
      </c>
      <c r="G465" s="13"/>
      <c r="H465" s="14" t="str">
        <f>HYPERLINK("https://pulti.ua/tv/pult-dlja-panasonic-eur7651150")</f>
        <v>https://pulti.ua/tv/pult-dlja-panasonic-eur7651150</v>
      </c>
    </row>
    <row r="466" spans="1:8" s="18" customFormat="1" ht="15" customHeight="1">
      <c r="A466" s="11">
        <v>1492</v>
      </c>
      <c r="B466" s="12" t="s">
        <v>436</v>
      </c>
      <c r="C466" s="13" t="s">
        <v>11</v>
      </c>
      <c r="D466" s="14"/>
      <c r="E466" s="9">
        <v>44.6</v>
      </c>
      <c r="F466" s="9">
        <f t="shared" si="15"/>
        <v>0</v>
      </c>
      <c r="G466" s="13"/>
      <c r="H466" s="14" t="str">
        <f>HYPERLINK("https://pulti.ua/tv/pult-dlja-panasonic-eur7717010")</f>
        <v>https://pulti.ua/tv/pult-dlja-panasonic-eur7717010</v>
      </c>
    </row>
    <row r="467" spans="1:8" s="18" customFormat="1" ht="15" customHeight="1">
      <c r="A467" s="39">
        <v>2883</v>
      </c>
      <c r="B467" s="26" t="s">
        <v>437</v>
      </c>
      <c r="C467" s="13" t="s">
        <v>11</v>
      </c>
      <c r="D467" s="14"/>
      <c r="E467" s="9">
        <v>54.4</v>
      </c>
      <c r="F467" s="9">
        <f t="shared" si="15"/>
        <v>0</v>
      </c>
      <c r="G467" s="13"/>
      <c r="H467" s="14" t="str">
        <f>HYPERLINK("https://pulti.ua/tv/pult-dlja-panasonic-eur7717010-ic")</f>
        <v>https://pulti.ua/tv/pult-dlja-panasonic-eur7717010-ic</v>
      </c>
    </row>
    <row r="468" spans="1:8" s="18" customFormat="1" ht="15" customHeight="1">
      <c r="A468" s="11">
        <v>1495</v>
      </c>
      <c r="B468" s="12" t="s">
        <v>438</v>
      </c>
      <c r="C468" s="13" t="s">
        <v>11</v>
      </c>
      <c r="D468" s="14"/>
      <c r="E468" s="9">
        <v>60</v>
      </c>
      <c r="F468" s="9">
        <f t="shared" si="15"/>
        <v>0</v>
      </c>
      <c r="G468" s="13"/>
      <c r="H468" s="14" t="str">
        <f>HYPERLINK("https://pulti.ua/tv/pult-dlja-panasonic-eur7717030")</f>
        <v>https://pulti.ua/tv/pult-dlja-panasonic-eur7717030</v>
      </c>
    </row>
    <row r="469" spans="1:8" s="18" customFormat="1" ht="15" customHeight="1">
      <c r="A469" s="11">
        <v>1497</v>
      </c>
      <c r="B469" s="12" t="s">
        <v>439</v>
      </c>
      <c r="C469" s="13" t="s">
        <v>22</v>
      </c>
      <c r="D469" s="14"/>
      <c r="E469" s="9">
        <v>71.3</v>
      </c>
      <c r="F469" s="9">
        <f t="shared" si="15"/>
        <v>0</v>
      </c>
      <c r="G469" s="13"/>
      <c r="H469" s="14" t="str">
        <f>HYPERLINK("https://pulti.ua/tv/pult-dlja-panasonic-n2qajb0000109")</f>
        <v>https://pulti.ua/tv/pult-dlja-panasonic-n2qajb0000109</v>
      </c>
    </row>
    <row r="470" spans="1:8" s="18" customFormat="1" ht="15" customHeight="1">
      <c r="A470" s="39">
        <v>3422</v>
      </c>
      <c r="B470" s="26" t="s">
        <v>440</v>
      </c>
      <c r="C470" s="13" t="s">
        <v>431</v>
      </c>
      <c r="D470" s="14"/>
      <c r="E470" s="9">
        <v>75</v>
      </c>
      <c r="F470" s="9">
        <f t="shared" si="15"/>
        <v>0</v>
      </c>
      <c r="G470" s="13"/>
      <c r="H470" s="14" t="str">
        <f>HYPERLINK("https://pulti.ua/tv/pult-dlja-panasonic-n2qajb000080-ic")</f>
        <v>https://pulti.ua/tv/pult-dlja-panasonic-n2qajb000080-ic</v>
      </c>
    </row>
    <row r="471" spans="1:8" s="18" customFormat="1" ht="15" customHeight="1">
      <c r="A471" s="39">
        <v>3110</v>
      </c>
      <c r="B471" s="26" t="s">
        <v>441</v>
      </c>
      <c r="C471" s="13" t="s">
        <v>442</v>
      </c>
      <c r="D471" s="14"/>
      <c r="E471" s="9">
        <v>146.3</v>
      </c>
      <c r="F471" s="9">
        <f t="shared" si="15"/>
        <v>0</v>
      </c>
      <c r="G471" s="13"/>
      <c r="H471" s="14" t="str">
        <f>HYPERLINK("https://pulti.ua/tv/pult-dlja-panasonic-n2qajb000108")</f>
        <v>https://pulti.ua/tv/pult-dlja-panasonic-n2qajb000108</v>
      </c>
    </row>
    <row r="472" spans="1:8" s="18" customFormat="1" ht="15" customHeight="1">
      <c r="A472" s="39">
        <v>3111</v>
      </c>
      <c r="B472" s="26" t="s">
        <v>443</v>
      </c>
      <c r="C472" s="13" t="s">
        <v>22</v>
      </c>
      <c r="D472" s="14"/>
      <c r="E472" s="9">
        <v>146.3</v>
      </c>
      <c r="F472" s="9">
        <f t="shared" si="15"/>
        <v>0</v>
      </c>
      <c r="G472" s="13"/>
      <c r="H472" s="14" t="str">
        <f>HYPERLINK("https://pulti.ua/tv/pult-dlja-panasonic-n2qajb000124")</f>
        <v>https://pulti.ua/tv/pult-dlja-panasonic-n2qajb000124</v>
      </c>
    </row>
    <row r="473" spans="1:8" s="18" customFormat="1" ht="15" customHeight="1">
      <c r="A473" s="39">
        <v>1499</v>
      </c>
      <c r="B473" s="26" t="s">
        <v>444</v>
      </c>
      <c r="C473" s="13" t="s">
        <v>22</v>
      </c>
      <c r="D473" s="14"/>
      <c r="E473" s="9">
        <v>153.8</v>
      </c>
      <c r="F473" s="9">
        <f t="shared" si="15"/>
        <v>0</v>
      </c>
      <c r="G473" s="13"/>
      <c r="H473" s="14" t="str">
        <f>HYPERLINK("https://pulti.ua/tv/pult-dlja-panasonic-n2qayb000399")</f>
        <v>https://pulti.ua/tv/pult-dlja-panasonic-n2qayb000399</v>
      </c>
    </row>
    <row r="474" spans="1:8" s="18" customFormat="1" ht="15" customHeight="1">
      <c r="A474" s="39">
        <v>1500</v>
      </c>
      <c r="B474" s="26" t="s">
        <v>445</v>
      </c>
      <c r="C474" s="13" t="s">
        <v>22</v>
      </c>
      <c r="D474" s="14"/>
      <c r="E474" s="9">
        <v>101.3</v>
      </c>
      <c r="F474" s="9">
        <f t="shared" si="15"/>
        <v>0</v>
      </c>
      <c r="G474" s="13"/>
      <c r="H474" s="14" t="str">
        <f>HYPERLINK("https://pulti.ua/tv/pult-dlja-panasonic-n2qayb000485")</f>
        <v>https://pulti.ua/tv/pult-dlja-panasonic-n2qayb000485</v>
      </c>
    </row>
    <row r="475" spans="1:8" s="18" customFormat="1" ht="15" customHeight="1">
      <c r="A475" s="39">
        <v>3680</v>
      </c>
      <c r="B475" s="26" t="s">
        <v>446</v>
      </c>
      <c r="C475" s="13" t="s">
        <v>14</v>
      </c>
      <c r="D475" s="14"/>
      <c r="E475" s="9">
        <v>93.8</v>
      </c>
      <c r="F475" s="9">
        <f t="shared" si="15"/>
        <v>0</v>
      </c>
      <c r="G475" s="13"/>
      <c r="H475" s="14" t="str">
        <f>HYPERLINK("https://pulti.ua/tv/pult-dlja-panasonic-n2qayb000487-ic")</f>
        <v>https://pulti.ua/tv/pult-dlja-panasonic-n2qayb000487-ic</v>
      </c>
    </row>
    <row r="476" spans="1:8" s="18" customFormat="1" ht="15" customHeight="1">
      <c r="A476" s="39">
        <v>3439</v>
      </c>
      <c r="B476" s="26" t="s">
        <v>447</v>
      </c>
      <c r="C476" s="13" t="s">
        <v>22</v>
      </c>
      <c r="D476" s="14"/>
      <c r="E476" s="9">
        <v>71.3</v>
      </c>
      <c r="F476" s="9">
        <f aca="true" t="shared" si="16" ref="F476:F481">D476*E476</f>
        <v>0</v>
      </c>
      <c r="G476" s="13"/>
      <c r="H476" s="14" t="str">
        <f>HYPERLINK("https://pulti.ua/tv/pult-dlja-panasonic-n2qayb00543-viera")</f>
        <v>https://pulti.ua/tv/pult-dlja-panasonic-n2qayb00543-viera</v>
      </c>
    </row>
    <row r="477" spans="1:8" s="18" customFormat="1" ht="15" customHeight="1">
      <c r="A477" s="39">
        <v>3556</v>
      </c>
      <c r="B477" s="26" t="s">
        <v>448</v>
      </c>
      <c r="C477" s="13" t="s">
        <v>14</v>
      </c>
      <c r="D477" s="14"/>
      <c r="E477" s="9">
        <v>93.8</v>
      </c>
      <c r="F477" s="9">
        <f t="shared" si="16"/>
        <v>0</v>
      </c>
      <c r="G477" s="13"/>
      <c r="H477" s="14" t="str">
        <f>HYPERLINK("https://pulti.ua/tv/pult-dlja-panasonic-n2qayb000572--3d-viera")</f>
        <v>https://pulti.ua/tv/pult-dlja-panasonic-n2qayb000572--3d-viera</v>
      </c>
    </row>
    <row r="478" spans="1:8" s="18" customFormat="1" ht="15" customHeight="1">
      <c r="A478" s="39">
        <v>3831</v>
      </c>
      <c r="B478" s="26" t="s">
        <v>449</v>
      </c>
      <c r="C478" s="13" t="s">
        <v>14</v>
      </c>
      <c r="D478" s="14"/>
      <c r="E478" s="9">
        <v>71.3</v>
      </c>
      <c r="F478" s="9">
        <f t="shared" si="16"/>
        <v>0</v>
      </c>
      <c r="G478" s="13"/>
      <c r="H478" s="14" t="str">
        <f>HYPERLINK("https://pulti.ua/tv/pult-dlja-panasonic-n2qayb000604")</f>
        <v>https://pulti.ua/tv/pult-dlja-panasonic-n2qayb000604</v>
      </c>
    </row>
    <row r="479" spans="1:8" s="18" customFormat="1" ht="15" customHeight="1">
      <c r="A479" s="39">
        <v>3557</v>
      </c>
      <c r="B479" s="26" t="s">
        <v>450</v>
      </c>
      <c r="C479" s="13" t="s">
        <v>14</v>
      </c>
      <c r="D479" s="14"/>
      <c r="E479" s="9">
        <v>88.1</v>
      </c>
      <c r="F479" s="9">
        <f t="shared" si="16"/>
        <v>0</v>
      </c>
      <c r="G479" s="13"/>
      <c r="H479" s="14" t="str">
        <f>HYPERLINK("https://pulti.ua/tv/pult-dlja-panasonic-n2qayb000752--3d-viera")</f>
        <v>https://pulti.ua/tv/pult-dlja-panasonic-n2qayb000752--3d-viera</v>
      </c>
    </row>
    <row r="480" spans="1:8" s="18" customFormat="1" ht="15" customHeight="1">
      <c r="A480" s="39">
        <v>3681</v>
      </c>
      <c r="B480" s="26" t="s">
        <v>451</v>
      </c>
      <c r="C480" s="13" t="s">
        <v>14</v>
      </c>
      <c r="D480" s="14"/>
      <c r="E480" s="9">
        <v>93.8</v>
      </c>
      <c r="F480" s="9">
        <f t="shared" si="16"/>
        <v>0</v>
      </c>
      <c r="G480" s="13"/>
      <c r="H480" s="14" t="str">
        <f>HYPERLINK("https://pulti.ua/tv/pult-dlja-panasonic-n2qayb000803-ic")</f>
        <v>https://pulti.ua/tv/pult-dlja-panasonic-n2qayb000803-ic</v>
      </c>
    </row>
    <row r="481" spans="1:8" s="18" customFormat="1" ht="15" customHeight="1">
      <c r="A481" s="39">
        <v>3577</v>
      </c>
      <c r="B481" s="26" t="s">
        <v>452</v>
      </c>
      <c r="C481" s="13" t="s">
        <v>14</v>
      </c>
      <c r="D481" s="14"/>
      <c r="E481" s="9">
        <v>93.8</v>
      </c>
      <c r="F481" s="9">
        <f t="shared" si="16"/>
        <v>0</v>
      </c>
      <c r="G481" s="13"/>
      <c r="H481" s="14" t="str">
        <f>HYPERLINK("https://pulti.ua/tv/pult-dlja-panasonic-n2qayb000815")</f>
        <v>https://pulti.ua/tv/pult-dlja-panasonic-n2qayb000815</v>
      </c>
    </row>
    <row r="482" spans="1:8" s="18" customFormat="1" ht="15" customHeight="1">
      <c r="A482" s="39">
        <v>4015</v>
      </c>
      <c r="B482" s="26" t="s">
        <v>1351</v>
      </c>
      <c r="C482" s="13" t="s">
        <v>14</v>
      </c>
      <c r="D482" s="15" t="s">
        <v>1314</v>
      </c>
      <c r="E482" s="9">
        <v>93.8</v>
      </c>
      <c r="F482" s="9"/>
      <c r="G482" s="13"/>
      <c r="H482" s="14" t="str">
        <f>HYPERLINK("https://pulti.ua/tv/pult-dlja-panasonic-n2qayb001009")</f>
        <v>https://pulti.ua/tv/pult-dlja-panasonic-n2qayb001009</v>
      </c>
    </row>
    <row r="483" spans="1:8" s="18" customFormat="1" ht="15" customHeight="1">
      <c r="A483" s="11">
        <v>1501</v>
      </c>
      <c r="B483" s="12" t="s">
        <v>453</v>
      </c>
      <c r="C483" s="13" t="s">
        <v>186</v>
      </c>
      <c r="D483" s="14"/>
      <c r="E483" s="9">
        <v>56.3</v>
      </c>
      <c r="F483" s="9">
        <f aca="true" t="shared" si="17" ref="F483:F502">D483*E483</f>
        <v>0</v>
      </c>
      <c r="G483" s="13"/>
      <c r="H483" s="14" t="str">
        <f>HYPERLINK("https://pulti.ua/tv/pult-dlja-panasonic-sbar20026a")</f>
        <v>https://pulti.ua/tv/pult-dlja-panasonic-sbar20026a</v>
      </c>
    </row>
    <row r="484" spans="1:8" s="18" customFormat="1" ht="15" customHeight="1">
      <c r="A484" s="11">
        <v>1506</v>
      </c>
      <c r="B484" s="12" t="s">
        <v>454</v>
      </c>
      <c r="C484" s="13" t="s">
        <v>186</v>
      </c>
      <c r="D484" s="14"/>
      <c r="E484" s="9">
        <v>75</v>
      </c>
      <c r="F484" s="9">
        <f t="shared" si="17"/>
        <v>0</v>
      </c>
      <c r="G484" s="13"/>
      <c r="H484" s="14" t="str">
        <f>HYPERLINK("https://pulti.ua/tv/pult-dlja-panasonic-tnq2636")</f>
        <v>https://pulti.ua/tv/pult-dlja-panasonic-tnq2636</v>
      </c>
    </row>
    <row r="485" spans="1:8" s="18" customFormat="1" ht="15" customHeight="1">
      <c r="A485" s="11">
        <v>1508</v>
      </c>
      <c r="B485" s="12" t="s">
        <v>455</v>
      </c>
      <c r="C485" s="13" t="s">
        <v>186</v>
      </c>
      <c r="D485" s="14"/>
      <c r="E485" s="9">
        <v>75</v>
      </c>
      <c r="F485" s="9">
        <f t="shared" si="17"/>
        <v>0</v>
      </c>
      <c r="G485" s="13"/>
      <c r="H485" s="14" t="str">
        <f>HYPERLINK("https://pulti.ua/tv/pult-dlja-panasonic-tnq2637")</f>
        <v>https://pulti.ua/tv/pult-dlja-panasonic-tnq2637</v>
      </c>
    </row>
    <row r="486" spans="1:8" s="18" customFormat="1" ht="15" customHeight="1">
      <c r="A486" s="11">
        <v>1510</v>
      </c>
      <c r="B486" s="12" t="s">
        <v>456</v>
      </c>
      <c r="C486" s="13" t="s">
        <v>11</v>
      </c>
      <c r="D486" s="14"/>
      <c r="E486" s="9">
        <v>45</v>
      </c>
      <c r="F486" s="9">
        <f t="shared" si="17"/>
        <v>0</v>
      </c>
      <c r="G486" s="13"/>
      <c r="H486" s="14" t="str">
        <f>HYPERLINK("https://pulti.ua/tv/pult-dlja-panasonic-tnq4g0401")</f>
        <v>https://pulti.ua/tv/pult-dlja-panasonic-tnq4g0401</v>
      </c>
    </row>
    <row r="487" spans="1:8" s="18" customFormat="1" ht="15" customHeight="1">
      <c r="A487" s="11">
        <v>1511</v>
      </c>
      <c r="B487" s="12" t="s">
        <v>457</v>
      </c>
      <c r="C487" s="13" t="s">
        <v>11</v>
      </c>
      <c r="D487" s="14"/>
      <c r="E487" s="9">
        <v>45</v>
      </c>
      <c r="F487" s="9">
        <f t="shared" si="17"/>
        <v>0</v>
      </c>
      <c r="G487" s="13"/>
      <c r="H487" s="14" t="str">
        <f>HYPERLINK("https://pulti.ua/tv/pult-dlja-panasonic-tnq4g0402")</f>
        <v>https://pulti.ua/tv/pult-dlja-panasonic-tnq4g0402</v>
      </c>
    </row>
    <row r="488" spans="1:8" s="18" customFormat="1" ht="15" customHeight="1">
      <c r="A488" s="11">
        <v>1512</v>
      </c>
      <c r="B488" s="12" t="s">
        <v>458</v>
      </c>
      <c r="C488" s="13" t="s">
        <v>11</v>
      </c>
      <c r="D488" s="14"/>
      <c r="E488" s="9">
        <v>52.5</v>
      </c>
      <c r="F488" s="9">
        <f t="shared" si="17"/>
        <v>0</v>
      </c>
      <c r="G488" s="13"/>
      <c r="H488" s="14" t="str">
        <f>HYPERLINK("https://pulti.ua/tv/pult-dlja-panasonic-tnq4g0403")</f>
        <v>https://pulti.ua/tv/pult-dlja-panasonic-tnq4g0403</v>
      </c>
    </row>
    <row r="489" spans="1:8" s="18" customFormat="1" ht="15" customHeight="1">
      <c r="A489" s="39">
        <v>2881</v>
      </c>
      <c r="B489" s="26" t="s">
        <v>459</v>
      </c>
      <c r="C489" s="13" t="s">
        <v>11</v>
      </c>
      <c r="D489" s="14"/>
      <c r="E489" s="9">
        <v>58.1</v>
      </c>
      <c r="F489" s="9">
        <f t="shared" si="17"/>
        <v>0</v>
      </c>
      <c r="G489" s="13"/>
      <c r="H489" s="14" t="str">
        <f>HYPERLINK("https://pulti.ua/tv/pult-dlja-panasonic-tnq4g0403-ic")</f>
        <v>https://pulti.ua/tv/pult-dlja-panasonic-tnq4g0403-ic</v>
      </c>
    </row>
    <row r="490" spans="1:8" s="18" customFormat="1" ht="15" customHeight="1">
      <c r="A490" s="11">
        <v>1503</v>
      </c>
      <c r="B490" s="12" t="s">
        <v>460</v>
      </c>
      <c r="C490" s="13" t="s">
        <v>186</v>
      </c>
      <c r="D490" s="14"/>
      <c r="E490" s="9">
        <v>71.3</v>
      </c>
      <c r="F490" s="9">
        <f t="shared" si="17"/>
        <v>0</v>
      </c>
      <c r="G490" s="13"/>
      <c r="H490" s="14" t="str">
        <f>HYPERLINK("https://pulti.ua/tv/pult-dlja-panasonic-tnq-8e-0461-2")</f>
        <v>https://pulti.ua/tv/pult-dlja-panasonic-tnq-8e-0461-2</v>
      </c>
    </row>
    <row r="491" spans="1:8" s="18" customFormat="1" ht="15" customHeight="1">
      <c r="A491" s="11">
        <v>2738</v>
      </c>
      <c r="B491" s="12" t="s">
        <v>461</v>
      </c>
      <c r="C491" s="13" t="s">
        <v>11</v>
      </c>
      <c r="D491" s="14"/>
      <c r="E491" s="9">
        <v>56.3</v>
      </c>
      <c r="F491" s="9">
        <f t="shared" si="17"/>
        <v>0</v>
      </c>
      <c r="G491" s="13"/>
      <c r="H491" s="14" t="str">
        <f>HYPERLINK("https://pulti.ua/tv/pult-dlja-patriot--rc02-35")</f>
        <v>https://pulti.ua/tv/pult-dlja-patriot--rc02-35</v>
      </c>
    </row>
    <row r="492" spans="1:8" s="18" customFormat="1" ht="15" customHeight="1">
      <c r="A492" s="11">
        <v>2739</v>
      </c>
      <c r="B492" s="12" t="s">
        <v>462</v>
      </c>
      <c r="C492" s="13" t="s">
        <v>11</v>
      </c>
      <c r="D492" s="14"/>
      <c r="E492" s="9">
        <v>56.3</v>
      </c>
      <c r="F492" s="9">
        <f t="shared" si="17"/>
        <v>0</v>
      </c>
      <c r="G492" s="13"/>
      <c r="H492" s="14" t="str">
        <f>HYPERLINK("https://pulti.ua/tv/pult-dlja-patriot--rc02-36")</f>
        <v>https://pulti.ua/tv/pult-dlja-patriot--rc02-36</v>
      </c>
    </row>
    <row r="493" spans="1:8" s="18" customFormat="1" ht="15" customHeight="1">
      <c r="A493" s="39">
        <v>1529</v>
      </c>
      <c r="B493" s="26" t="s">
        <v>463</v>
      </c>
      <c r="C493" s="13" t="s">
        <v>22</v>
      </c>
      <c r="D493" s="14"/>
      <c r="E493" s="9">
        <v>76.9</v>
      </c>
      <c r="F493" s="9">
        <f t="shared" si="17"/>
        <v>0</v>
      </c>
      <c r="G493" s="13"/>
      <c r="H493" s="14" t="str">
        <f>HYPERLINK("https://pulti.ua/tv/pult-dlja-philips-2422-549-01833")</f>
        <v>https://pulti.ua/tv/pult-dlja-philips-2422-549-01833</v>
      </c>
    </row>
    <row r="494" spans="1:8" s="18" customFormat="1" ht="15" customHeight="1">
      <c r="A494" s="39">
        <v>1530</v>
      </c>
      <c r="B494" s="26" t="s">
        <v>464</v>
      </c>
      <c r="C494" s="13" t="s">
        <v>22</v>
      </c>
      <c r="D494" s="14"/>
      <c r="E494" s="9">
        <v>76.9</v>
      </c>
      <c r="F494" s="9">
        <f t="shared" si="17"/>
        <v>0</v>
      </c>
      <c r="G494" s="13"/>
      <c r="H494" s="14" t="str">
        <f>HYPERLINK("https://pulti.ua/tv/pult-dlja-philips-2422-549-01834")</f>
        <v>https://pulti.ua/tv/pult-dlja-philips-2422-549-01834</v>
      </c>
    </row>
    <row r="495" spans="1:8" s="18" customFormat="1" ht="15" customHeight="1">
      <c r="A495" s="11">
        <v>1531</v>
      </c>
      <c r="B495" s="12" t="s">
        <v>465</v>
      </c>
      <c r="C495" s="13" t="s">
        <v>22</v>
      </c>
      <c r="D495" s="14"/>
      <c r="E495" s="9">
        <v>45</v>
      </c>
      <c r="F495" s="9">
        <f t="shared" si="17"/>
        <v>0</v>
      </c>
      <c r="G495" s="13"/>
      <c r="H495" s="14" t="str">
        <f>HYPERLINK("https://pulti.ua/tv/pult-dlja-philips-2422-549-01911")</f>
        <v>https://pulti.ua/tv/pult-dlja-philips-2422-549-01911</v>
      </c>
    </row>
    <row r="496" spans="1:8" s="18" customFormat="1" ht="15" customHeight="1">
      <c r="A496" s="39">
        <v>1532</v>
      </c>
      <c r="B496" s="26" t="s">
        <v>466</v>
      </c>
      <c r="C496" s="13" t="s">
        <v>22</v>
      </c>
      <c r="D496" s="14"/>
      <c r="E496" s="9">
        <v>90</v>
      </c>
      <c r="F496" s="9">
        <f t="shared" si="17"/>
        <v>0</v>
      </c>
      <c r="G496" s="13"/>
      <c r="H496" s="14" t="str">
        <f>HYPERLINK("https://pulti.ua/tv/pult-dlja-philips-2422-549-02314")</f>
        <v>https://pulti.ua/tv/pult-dlja-philips-2422-549-02314</v>
      </c>
    </row>
    <row r="497" spans="1:8" s="18" customFormat="1" ht="15" customHeight="1">
      <c r="A497" s="39">
        <v>2875</v>
      </c>
      <c r="B497" s="26" t="s">
        <v>467</v>
      </c>
      <c r="C497" s="13" t="s">
        <v>22</v>
      </c>
      <c r="D497" s="14"/>
      <c r="E497" s="9">
        <v>76.9</v>
      </c>
      <c r="F497" s="9">
        <f t="shared" si="17"/>
        <v>0</v>
      </c>
      <c r="G497" s="13"/>
      <c r="H497" s="14" t="str">
        <f>HYPERLINK("https://pulti.ua/tv/pult-dlja-philips-2422-549-02454")</f>
        <v>https://pulti.ua/tv/pult-dlja-philips-2422-549-02454</v>
      </c>
    </row>
    <row r="498" spans="1:8" s="18" customFormat="1" ht="15" customHeight="1">
      <c r="A498" s="39">
        <v>2978</v>
      </c>
      <c r="B498" s="26" t="s">
        <v>468</v>
      </c>
      <c r="C498" s="13" t="s">
        <v>14</v>
      </c>
      <c r="D498" s="14"/>
      <c r="E498" s="9">
        <v>82.5</v>
      </c>
      <c r="F498" s="9">
        <f t="shared" si="17"/>
        <v>0</v>
      </c>
      <c r="G498" s="13"/>
      <c r="H498" s="14" t="str">
        <f>HYPERLINK("https://pulti.ua/tv/pult-dlja-philips-2422-549-02543")</f>
        <v>https://pulti.ua/tv/pult-dlja-philips-2422-549-02543</v>
      </c>
    </row>
    <row r="499" spans="1:8" s="18" customFormat="1" ht="15" customHeight="1">
      <c r="A499" s="39">
        <v>3134</v>
      </c>
      <c r="B499" s="26" t="s">
        <v>469</v>
      </c>
      <c r="C499" s="13" t="s">
        <v>14</v>
      </c>
      <c r="D499" s="14"/>
      <c r="E499" s="9">
        <v>75</v>
      </c>
      <c r="F499" s="9">
        <f t="shared" si="17"/>
        <v>0</v>
      </c>
      <c r="G499" s="13"/>
      <c r="H499" s="14" t="str">
        <f>HYPERLINK("https://pulti.ua/tv/pult-dlja-philips-2422-549-90301")</f>
        <v>https://pulti.ua/tv/pult-dlja-philips-2422-549-90301</v>
      </c>
    </row>
    <row r="500" spans="1:8" s="18" customFormat="1" ht="15" customHeight="1">
      <c r="A500" s="39">
        <v>3135</v>
      </c>
      <c r="B500" s="26" t="s">
        <v>470</v>
      </c>
      <c r="C500" s="13" t="s">
        <v>14</v>
      </c>
      <c r="D500" s="14"/>
      <c r="E500" s="9">
        <v>101.3</v>
      </c>
      <c r="F500" s="9">
        <f t="shared" si="17"/>
        <v>0</v>
      </c>
      <c r="G500" s="13"/>
      <c r="H500" s="14" t="str">
        <f>HYPERLINK("https://pulti.ua/tv/pult-dlja-philips-2422-549-90416")</f>
        <v>https://pulti.ua/tv/pult-dlja-philips-2422-549-90416</v>
      </c>
    </row>
    <row r="501" spans="1:8" s="18" customFormat="1" ht="15" customHeight="1">
      <c r="A501" s="39">
        <v>3234</v>
      </c>
      <c r="B501" s="26" t="s">
        <v>471</v>
      </c>
      <c r="C501" s="13" t="s">
        <v>14</v>
      </c>
      <c r="D501" s="14"/>
      <c r="E501" s="9">
        <v>76.9</v>
      </c>
      <c r="F501" s="9">
        <f t="shared" si="17"/>
        <v>0</v>
      </c>
      <c r="G501" s="13"/>
      <c r="H501" s="14" t="str">
        <f>HYPERLINK("https://pulti.ua/tv/pult-dlja-philips-2422-549-90467")</f>
        <v>https://pulti.ua/tv/pult-dlja-philips-2422-549-90467</v>
      </c>
    </row>
    <row r="502" spans="1:8" s="18" customFormat="1" ht="15" customHeight="1">
      <c r="A502" s="39">
        <v>3241</v>
      </c>
      <c r="B502" s="26" t="s">
        <v>472</v>
      </c>
      <c r="C502" s="13" t="s">
        <v>14</v>
      </c>
      <c r="D502" s="14"/>
      <c r="E502" s="9">
        <v>82.5</v>
      </c>
      <c r="F502" s="9">
        <f t="shared" si="17"/>
        <v>0</v>
      </c>
      <c r="G502" s="13"/>
      <c r="H502" s="14" t="str">
        <f>HYPERLINK("https://pulti.ua/tv/pult-dlja-philips-2422-549-90477-ykf314-001--3d")</f>
        <v>https://pulti.ua/tv/pult-dlja-philips-2422-549-90477-ykf314-001--3d</v>
      </c>
    </row>
    <row r="503" spans="1:8" s="18" customFormat="1" ht="15" customHeight="1">
      <c r="A503" s="39">
        <v>4116</v>
      </c>
      <c r="B503" s="26" t="s">
        <v>1352</v>
      </c>
      <c r="C503" s="13" t="s">
        <v>14</v>
      </c>
      <c r="D503" s="15" t="s">
        <v>1314</v>
      </c>
      <c r="E503" s="9">
        <v>93.8</v>
      </c>
      <c r="F503" s="9"/>
      <c r="G503" s="13"/>
      <c r="H503" s="14" t="str">
        <f>HYPERLINK("https://pulti.ua/tv/pult-dlya-philips-49put6101-398gr08bephn11hl")</f>
        <v>https://pulti.ua/tv/pult-dlya-philips-49put6101-398gr08bephn11hl</v>
      </c>
    </row>
    <row r="504" spans="1:8" s="18" customFormat="1" ht="15" customHeight="1">
      <c r="A504" s="39">
        <v>3240</v>
      </c>
      <c r="B504" s="26" t="s">
        <v>473</v>
      </c>
      <c r="C504" s="13" t="s">
        <v>14</v>
      </c>
      <c r="D504" s="14"/>
      <c r="E504" s="9">
        <v>76.9</v>
      </c>
      <c r="F504" s="9">
        <f aca="true" t="shared" si="18" ref="F504:F557">D504*E504</f>
        <v>0</v>
      </c>
      <c r="G504" s="13"/>
      <c r="H504" s="14" t="str">
        <f>HYPERLINK("https://pulti.ua/tv/pult-dlja-philips-9965-900-00449-ykf308-001")</f>
        <v>https://pulti.ua/tv/pult-dlja-philips-9965-900-00449-ykf308-001</v>
      </c>
    </row>
    <row r="505" spans="1:8" s="18" customFormat="1" ht="15" customHeight="1">
      <c r="A505" s="39">
        <v>4270</v>
      </c>
      <c r="B505" s="26" t="s">
        <v>474</v>
      </c>
      <c r="C505" s="13" t="s">
        <v>14</v>
      </c>
      <c r="D505" s="14"/>
      <c r="E505" s="9">
        <v>78.8</v>
      </c>
      <c r="F505" s="9">
        <f t="shared" si="18"/>
        <v>0</v>
      </c>
      <c r="G505" s="13"/>
      <c r="H505" s="14" t="str">
        <f>HYPERLINK("https://pulti.ua/tv/pult-dlya-philips-rc-9965-900-03112")</f>
        <v>https://pulti.ua/tv/pult-dlya-philips-rc-9965-900-03112</v>
      </c>
    </row>
    <row r="506" spans="1:8" s="18" customFormat="1" ht="15" customHeight="1">
      <c r="A506" s="11">
        <v>1534</v>
      </c>
      <c r="B506" s="12" t="s">
        <v>475</v>
      </c>
      <c r="C506" s="13" t="s">
        <v>11</v>
      </c>
      <c r="D506" s="14"/>
      <c r="E506" s="9">
        <v>52.5</v>
      </c>
      <c r="F506" s="9">
        <f t="shared" si="18"/>
        <v>0</v>
      </c>
      <c r="G506" s="13"/>
      <c r="H506" s="14" t="str">
        <f>HYPERLINK("https://pulti.ua/tv/pult-dlja-philips-rc-030101")</f>
        <v>https://pulti.ua/tv/pult-dlja-philips-rc-030101</v>
      </c>
    </row>
    <row r="507" spans="1:8" s="18" customFormat="1" ht="15" customHeight="1">
      <c r="A507" s="39">
        <v>3235</v>
      </c>
      <c r="B507" s="26" t="s">
        <v>476</v>
      </c>
      <c r="C507" s="13" t="s">
        <v>11</v>
      </c>
      <c r="D507" s="14"/>
      <c r="E507" s="9">
        <v>63.8</v>
      </c>
      <c r="F507" s="9">
        <f t="shared" si="18"/>
        <v>0</v>
      </c>
      <c r="G507" s="13"/>
      <c r="H507" s="14" t="str">
        <f>HYPERLINK("https://pulti.ua/tv/pult-dlja-philips-rc-030101-ic")</f>
        <v>https://pulti.ua/tv/pult-dlja-philips-rc-030101-ic</v>
      </c>
    </row>
    <row r="508" spans="1:8" s="18" customFormat="1" ht="15" customHeight="1">
      <c r="A508" s="11">
        <v>1535</v>
      </c>
      <c r="B508" s="12" t="s">
        <v>477</v>
      </c>
      <c r="C508" s="13" t="s">
        <v>11</v>
      </c>
      <c r="D508" s="14"/>
      <c r="E508" s="9">
        <v>56.3</v>
      </c>
      <c r="F508" s="9">
        <f t="shared" si="18"/>
        <v>0</v>
      </c>
      <c r="G508" s="13"/>
      <c r="H508" s="14" t="str">
        <f>HYPERLINK("https://pulti.ua/tv/pult-dlja-philips-rc-077001")</f>
        <v>https://pulti.ua/tv/pult-dlja-philips-rc-077001</v>
      </c>
    </row>
    <row r="509" spans="1:8" s="18" customFormat="1" ht="15" customHeight="1">
      <c r="A509" s="39">
        <v>3236</v>
      </c>
      <c r="B509" s="26" t="s">
        <v>478</v>
      </c>
      <c r="C509" s="13" t="s">
        <v>11</v>
      </c>
      <c r="D509" s="14"/>
      <c r="E509" s="9">
        <v>63.8</v>
      </c>
      <c r="F509" s="9">
        <f t="shared" si="18"/>
        <v>0</v>
      </c>
      <c r="G509" s="13"/>
      <c r="H509" s="14" t="str">
        <f>HYPERLINK("https://pulti.ua/tv/pult-dlja-philips-rc-077001-ic")</f>
        <v>https://pulti.ua/tv/pult-dlja-philips-rc-077001-ic</v>
      </c>
    </row>
    <row r="510" spans="1:8" s="18" customFormat="1" ht="15" customHeight="1">
      <c r="A510" s="39">
        <v>1538</v>
      </c>
      <c r="B510" s="26" t="s">
        <v>479</v>
      </c>
      <c r="C510" s="13" t="s">
        <v>22</v>
      </c>
      <c r="D510" s="14"/>
      <c r="E510" s="9">
        <v>63.8</v>
      </c>
      <c r="F510" s="9">
        <f t="shared" si="18"/>
        <v>0</v>
      </c>
      <c r="G510" s="13"/>
      <c r="H510" s="14" t="str">
        <f>HYPERLINK("https://pulti.ua/tv/pult-dlja-philips-rc-168380101")</f>
        <v>https://pulti.ua/tv/pult-dlja-philips-rc-168380101</v>
      </c>
    </row>
    <row r="511" spans="1:8" s="18" customFormat="1" ht="15" customHeight="1">
      <c r="A511" s="11">
        <v>1541</v>
      </c>
      <c r="B511" s="12" t="s">
        <v>480</v>
      </c>
      <c r="C511" s="13" t="s">
        <v>11</v>
      </c>
      <c r="D511" s="14"/>
      <c r="E511" s="9">
        <v>56.3</v>
      </c>
      <c r="F511" s="9">
        <f t="shared" si="18"/>
        <v>0</v>
      </c>
      <c r="G511" s="13"/>
      <c r="H511" s="14" t="str">
        <f>HYPERLINK("https://pulti.ua/tv/pult-dlja-philips-rc-19039001-radioplusvcr")</f>
        <v>https://pulti.ua/tv/pult-dlja-philips-rc-19039001-radioplusvcr</v>
      </c>
    </row>
    <row r="512" spans="1:8" s="18" customFormat="1" ht="15" customHeight="1">
      <c r="A512" s="39">
        <v>2924</v>
      </c>
      <c r="B512" s="26" t="s">
        <v>481</v>
      </c>
      <c r="C512" s="13" t="s">
        <v>11</v>
      </c>
      <c r="D512" s="14"/>
      <c r="E512" s="9">
        <v>63.8</v>
      </c>
      <c r="F512" s="9">
        <f t="shared" si="18"/>
        <v>0</v>
      </c>
      <c r="G512" s="13"/>
      <c r="H512" s="14" t="str">
        <f>HYPERLINK("https://pulti.ua/tv/pult-dlja-philips-rc-19039001-radioplusvcr-ic")</f>
        <v>https://pulti.ua/tv/pult-dlja-philips-rc-19039001-radioplusvcr-ic</v>
      </c>
    </row>
    <row r="513" spans="1:8" s="18" customFormat="1" ht="15" customHeight="1">
      <c r="A513" s="11">
        <v>1540</v>
      </c>
      <c r="B513" s="12" t="s">
        <v>482</v>
      </c>
      <c r="C513" s="13" t="s">
        <v>11</v>
      </c>
      <c r="D513" s="14"/>
      <c r="E513" s="9">
        <v>50.6</v>
      </c>
      <c r="F513" s="9">
        <f t="shared" si="18"/>
        <v>0</v>
      </c>
      <c r="G513" s="13"/>
      <c r="H513" s="14" t="str">
        <f>HYPERLINK("https://pulti.ua/tv/pult-dlja--philips-rc-1903900101-radio")</f>
        <v>https://pulti.ua/tv/pult-dlja--philips-rc-1903900101-radio</v>
      </c>
    </row>
    <row r="514" spans="1:8" s="18" customFormat="1" ht="15" customHeight="1">
      <c r="A514" s="11">
        <v>1543</v>
      </c>
      <c r="B514" s="12" t="s">
        <v>483</v>
      </c>
      <c r="C514" s="13" t="s">
        <v>11</v>
      </c>
      <c r="D514" s="14"/>
      <c r="E514" s="9">
        <v>65.6</v>
      </c>
      <c r="F514" s="9">
        <f t="shared" si="18"/>
        <v>0</v>
      </c>
      <c r="G514" s="13"/>
      <c r="H514" s="14" t="str">
        <f>HYPERLINK("https://pulti.ua/tv/pult-dlja-philips-rc-19042001")</f>
        <v>https://pulti.ua/tv/pult-dlja-philips-rc-19042001</v>
      </c>
    </row>
    <row r="515" spans="1:8" s="18" customFormat="1" ht="15" customHeight="1">
      <c r="A515" s="11">
        <v>1544</v>
      </c>
      <c r="B515" s="12" t="s">
        <v>484</v>
      </c>
      <c r="C515" s="13" t="s">
        <v>11</v>
      </c>
      <c r="D515" s="14"/>
      <c r="E515" s="9">
        <v>142.5</v>
      </c>
      <c r="F515" s="9">
        <f t="shared" si="18"/>
        <v>0</v>
      </c>
      <c r="G515" s="13"/>
      <c r="H515" s="14" t="str">
        <f>HYPERLINK("https://pulti.ua/tv/pult-dlja-philips-rc-19042006")</f>
        <v>https://pulti.ua/tv/pult-dlja-philips-rc-19042006</v>
      </c>
    </row>
    <row r="516" spans="1:8" s="18" customFormat="1" ht="15" customHeight="1">
      <c r="A516" s="11">
        <v>1545</v>
      </c>
      <c r="B516" s="12" t="s">
        <v>485</v>
      </c>
      <c r="C516" s="13" t="s">
        <v>22</v>
      </c>
      <c r="D516" s="14"/>
      <c r="E516" s="9">
        <v>142.5</v>
      </c>
      <c r="F516" s="9">
        <f t="shared" si="18"/>
        <v>0</v>
      </c>
      <c r="G516" s="13"/>
      <c r="H516" s="14" t="str">
        <f>HYPERLINK("https://pulti.ua/tv/pult-dlja-philips-rc-19042008")</f>
        <v>https://pulti.ua/tv/pult-dlja-philips-rc-19042008</v>
      </c>
    </row>
    <row r="517" spans="1:8" s="18" customFormat="1" ht="15" customHeight="1">
      <c r="A517" s="39">
        <v>1547</v>
      </c>
      <c r="B517" s="26" t="s">
        <v>1353</v>
      </c>
      <c r="C517" s="13" t="s">
        <v>22</v>
      </c>
      <c r="D517" s="14"/>
      <c r="E517" s="9">
        <v>142.5</v>
      </c>
      <c r="F517" s="9">
        <f t="shared" si="18"/>
        <v>0</v>
      </c>
      <c r="G517" s="13"/>
      <c r="H517" s="14" t="str">
        <f>HYPERLINK("https://pulti.ua/tv/pult-dlja-philips-rc-19042011")</f>
        <v>https://pulti.ua/tv/pult-dlja-philips-rc-19042011</v>
      </c>
    </row>
    <row r="518" spans="1:8" s="18" customFormat="1" ht="15" customHeight="1">
      <c r="A518" s="39">
        <v>3424</v>
      </c>
      <c r="B518" s="26" t="s">
        <v>486</v>
      </c>
      <c r="C518" s="13" t="s">
        <v>11</v>
      </c>
      <c r="D518" s="14"/>
      <c r="E518" s="9">
        <v>61.9</v>
      </c>
      <c r="F518" s="9">
        <f t="shared" si="18"/>
        <v>0</v>
      </c>
      <c r="G518" s="13"/>
      <c r="H518" s="14" t="str">
        <f>HYPERLINK("https://pulti.ua/tv/pult-dlja-philips-rc-19335003-ic")</f>
        <v>https://pulti.ua/tv/pult-dlja-philips-rc-19335003-ic</v>
      </c>
    </row>
    <row r="519" spans="1:8" s="18" customFormat="1" ht="15" customHeight="1">
      <c r="A519" s="11">
        <v>1549</v>
      </c>
      <c r="B519" s="12" t="s">
        <v>487</v>
      </c>
      <c r="C519" s="13" t="s">
        <v>11</v>
      </c>
      <c r="D519" s="14"/>
      <c r="E519" s="9">
        <v>101.3</v>
      </c>
      <c r="F519" s="9">
        <f t="shared" si="18"/>
        <v>0</v>
      </c>
      <c r="G519" s="13"/>
      <c r="H519" s="14" t="str">
        <f>HYPERLINK("https://pulti.ua/tv/pult-dlja-philips-rc-19335005")</f>
        <v>https://pulti.ua/tv/pult-dlja-philips-rc-19335005</v>
      </c>
    </row>
    <row r="520" spans="1:8" s="18" customFormat="1" ht="15" customHeight="1">
      <c r="A520" s="11">
        <v>1550</v>
      </c>
      <c r="B520" s="12" t="s">
        <v>488</v>
      </c>
      <c r="C520" s="13" t="s">
        <v>11</v>
      </c>
      <c r="D520" s="14"/>
      <c r="E520" s="9">
        <v>101.3</v>
      </c>
      <c r="F520" s="9">
        <f t="shared" si="18"/>
        <v>0</v>
      </c>
      <c r="G520" s="13"/>
      <c r="H520" s="14" t="str">
        <f>HYPERLINK("https://pulti.ua/tv/pult-dlja-philips-rc-19335010")</f>
        <v>https://pulti.ua/tv/pult-dlja-philips-rc-19335010</v>
      </c>
    </row>
    <row r="521" spans="1:8" s="18" customFormat="1" ht="15" customHeight="1">
      <c r="A521" s="11">
        <v>1551</v>
      </c>
      <c r="B521" s="12" t="s">
        <v>489</v>
      </c>
      <c r="C521" s="13" t="s">
        <v>11</v>
      </c>
      <c r="D521" s="14"/>
      <c r="E521" s="9">
        <v>125.6</v>
      </c>
      <c r="F521" s="9">
        <f t="shared" si="18"/>
        <v>0</v>
      </c>
      <c r="G521" s="13"/>
      <c r="H521" s="14" t="str">
        <f>HYPERLINK("https://pulti.ua/tv/pult-dlja-philips-rc-19335014")</f>
        <v>https://pulti.ua/tv/pult-dlja-philips-rc-19335014</v>
      </c>
    </row>
    <row r="522" spans="1:8" s="18" customFormat="1" ht="15" customHeight="1">
      <c r="A522" s="39">
        <v>3238</v>
      </c>
      <c r="B522" s="26" t="s">
        <v>490</v>
      </c>
      <c r="C522" s="13" t="s">
        <v>22</v>
      </c>
      <c r="D522" s="14"/>
      <c r="E522" s="9">
        <v>56.3</v>
      </c>
      <c r="F522" s="9">
        <f t="shared" si="18"/>
        <v>0</v>
      </c>
      <c r="G522" s="13"/>
      <c r="H522" s="14" t="str">
        <f>HYPERLINK("https://pulti.ua/tv/pult-dlja-philips-rc-202360101-ic")</f>
        <v>https://pulti.ua/tv/pult-dlja-philips-rc-202360101-ic</v>
      </c>
    </row>
    <row r="523" spans="1:8" s="18" customFormat="1" ht="15" customHeight="1">
      <c r="A523" s="11">
        <v>1555</v>
      </c>
      <c r="B523" s="12" t="s">
        <v>491</v>
      </c>
      <c r="C523" s="13" t="s">
        <v>22</v>
      </c>
      <c r="D523" s="14"/>
      <c r="E523" s="9">
        <v>37.5</v>
      </c>
      <c r="F523" s="9">
        <f t="shared" si="18"/>
        <v>0</v>
      </c>
      <c r="G523" s="13"/>
      <c r="H523" s="14" t="str">
        <f>HYPERLINK("https://pulti.ua/tv/pult-dlja-pioneer-axd1551")</f>
        <v>https://pulti.ua/tv/pult-dlja-pioneer-axd1551</v>
      </c>
    </row>
    <row r="524" spans="1:8" s="18" customFormat="1" ht="15" customHeight="1">
      <c r="A524" s="39">
        <v>3239</v>
      </c>
      <c r="B524" s="26" t="s">
        <v>492</v>
      </c>
      <c r="C524" s="13" t="s">
        <v>22</v>
      </c>
      <c r="D524" s="14"/>
      <c r="E524" s="9">
        <v>67.5</v>
      </c>
      <c r="F524" s="9">
        <f t="shared" si="18"/>
        <v>0</v>
      </c>
      <c r="G524" s="13"/>
      <c r="H524" s="14" t="str">
        <f>HYPERLINK("https://pulti.ua/tv/pult-dlja-philips-rc-202361701-ambilight--ic")</f>
        <v>https://pulti.ua/tv/pult-dlja-philips-rc-202361701-ambilight--ic</v>
      </c>
    </row>
    <row r="525" spans="1:8" s="18" customFormat="1" ht="15" customHeight="1">
      <c r="A525" s="39">
        <v>1556</v>
      </c>
      <c r="B525" s="26" t="s">
        <v>493</v>
      </c>
      <c r="C525" s="13" t="s">
        <v>22</v>
      </c>
      <c r="D525" s="14"/>
      <c r="E525" s="9">
        <v>75</v>
      </c>
      <c r="F525" s="9">
        <f t="shared" si="18"/>
        <v>0</v>
      </c>
      <c r="G525" s="13"/>
      <c r="H525" s="14" t="str">
        <f>HYPERLINK("https://pulti.ua/tv/pult-dlja-philips-rc-203430101-ic")</f>
        <v>https://pulti.ua/tv/pult-dlja-philips-rc-203430101-ic</v>
      </c>
    </row>
    <row r="526" spans="1:8" s="18" customFormat="1" ht="15" customHeight="1">
      <c r="A526" s="39">
        <v>1558</v>
      </c>
      <c r="B526" s="26" t="s">
        <v>494</v>
      </c>
      <c r="C526" s="13" t="s">
        <v>22</v>
      </c>
      <c r="D526" s="14"/>
      <c r="E526" s="9">
        <v>120</v>
      </c>
      <c r="F526" s="9">
        <f t="shared" si="18"/>
        <v>0</v>
      </c>
      <c r="G526" s="13"/>
      <c r="H526" s="14" t="str">
        <f>HYPERLINK("https://pulti.ua/tv/pult-dlja-philips-rc-203431201-ambilight")</f>
        <v>https://pulti.ua/tv/pult-dlja-philips-rc-203431201-ambilight</v>
      </c>
    </row>
    <row r="527" spans="1:8" s="18" customFormat="1" ht="15" customHeight="1">
      <c r="A527" s="11">
        <v>1559</v>
      </c>
      <c r="B527" s="12" t="s">
        <v>495</v>
      </c>
      <c r="C527" s="13" t="s">
        <v>11</v>
      </c>
      <c r="D527" s="14"/>
      <c r="E527" s="9">
        <v>63.8</v>
      </c>
      <c r="F527" s="9">
        <f t="shared" si="18"/>
        <v>0</v>
      </c>
      <c r="G527" s="13"/>
      <c r="H527" s="14" t="str">
        <f>HYPERLINK("https://pulti.ua/tv/pult-dlja-philips-rc-21")</f>
        <v>https://pulti.ua/tv/pult-dlja-philips-rc-21</v>
      </c>
    </row>
    <row r="528" spans="1:8" s="18" customFormat="1" ht="15" customHeight="1">
      <c r="A528" s="11">
        <v>1561</v>
      </c>
      <c r="B528" s="12" t="s">
        <v>496</v>
      </c>
      <c r="C528" s="13" t="s">
        <v>11</v>
      </c>
      <c r="D528" s="14"/>
      <c r="E528" s="9">
        <v>75</v>
      </c>
      <c r="F528" s="9">
        <f t="shared" si="18"/>
        <v>0</v>
      </c>
      <c r="G528" s="13"/>
      <c r="H528" s="14" t="str">
        <f>HYPERLINK("https://pulti.ua/tv/pult-dlja-philips-rc-254301")</f>
        <v>https://pulti.ua/tv/pult-dlja-philips-rc-254301</v>
      </c>
    </row>
    <row r="529" spans="1:8" s="18" customFormat="1" ht="15" customHeight="1">
      <c r="A529" s="39">
        <v>2873</v>
      </c>
      <c r="B529" s="26" t="s">
        <v>497</v>
      </c>
      <c r="C529" s="13" t="s">
        <v>22</v>
      </c>
      <c r="D529" s="14"/>
      <c r="E529" s="9">
        <v>105</v>
      </c>
      <c r="F529" s="9">
        <f t="shared" si="18"/>
        <v>0</v>
      </c>
      <c r="G529" s="13"/>
      <c r="H529" s="14" t="str">
        <f>HYPERLINK("https://pulti.ua/tv/pult-dlja-philips-rc-268320401")</f>
        <v>https://pulti.ua/tv/pult-dlja-philips-rc-268320401</v>
      </c>
    </row>
    <row r="530" spans="1:8" s="18" customFormat="1" ht="15" customHeight="1">
      <c r="A530" s="11">
        <v>1568</v>
      </c>
      <c r="B530" s="12" t="s">
        <v>498</v>
      </c>
      <c r="C530" s="13" t="s">
        <v>11</v>
      </c>
      <c r="D530" s="14"/>
      <c r="E530" s="9">
        <v>54.4</v>
      </c>
      <c r="F530" s="9">
        <f t="shared" si="18"/>
        <v>0</v>
      </c>
      <c r="G530" s="13"/>
      <c r="H530" s="14" t="str">
        <f>HYPERLINK("https://pulti.ua/tv/pult-dlja-philips-rc-283501")</f>
        <v>https://pulti.ua/tv/pult-dlja-philips-rc-283501</v>
      </c>
    </row>
    <row r="531" spans="1:8" s="18" customFormat="1" ht="15" customHeight="1">
      <c r="A531" s="39">
        <v>2923</v>
      </c>
      <c r="B531" s="26" t="s">
        <v>499</v>
      </c>
      <c r="C531" s="13" t="s">
        <v>11</v>
      </c>
      <c r="D531" s="14"/>
      <c r="E531" s="9">
        <v>60</v>
      </c>
      <c r="F531" s="9">
        <f t="shared" si="18"/>
        <v>0</v>
      </c>
      <c r="G531" s="13"/>
      <c r="H531" s="14" t="str">
        <f>HYPERLINK("https://pulti.ua/tv/pult-dlja-philips-rc-283501-ic")</f>
        <v>https://pulti.ua/tv/pult-dlja-philips-rc-283501-ic</v>
      </c>
    </row>
    <row r="532" spans="1:8" s="18" customFormat="1" ht="15" customHeight="1">
      <c r="A532" s="11">
        <v>1567</v>
      </c>
      <c r="B532" s="12" t="s">
        <v>500</v>
      </c>
      <c r="C532" s="13" t="s">
        <v>11</v>
      </c>
      <c r="D532" s="14"/>
      <c r="E532" s="9">
        <v>93.8</v>
      </c>
      <c r="F532" s="9">
        <f t="shared" si="18"/>
        <v>0</v>
      </c>
      <c r="G532" s="13"/>
      <c r="H532" s="14" t="str">
        <f>HYPERLINK("https://pulti.ua/tv/pult-dlja-philips-rc-28350")</f>
        <v>https://pulti.ua/tv/pult-dlja-philips-rc-28350</v>
      </c>
    </row>
    <row r="533" spans="1:8" s="18" customFormat="1" ht="15" customHeight="1">
      <c r="A533" s="11">
        <v>1570</v>
      </c>
      <c r="B533" s="12" t="s">
        <v>501</v>
      </c>
      <c r="C533" s="13" t="s">
        <v>22</v>
      </c>
      <c r="D533" s="14"/>
      <c r="E533" s="9">
        <v>90</v>
      </c>
      <c r="F533" s="9">
        <f t="shared" si="18"/>
        <v>0</v>
      </c>
      <c r="G533" s="13"/>
      <c r="H533" s="14" t="str">
        <f>HYPERLINK("https://pulti.ua/tv/pult-dlja-philips-rc-433101")</f>
        <v>https://pulti.ua/tv/pult-dlja-philips-rc-433101</v>
      </c>
    </row>
    <row r="534" spans="1:8" s="18" customFormat="1" ht="15" customHeight="1">
      <c r="A534" s="11">
        <v>1571</v>
      </c>
      <c r="B534" s="12" t="s">
        <v>502</v>
      </c>
      <c r="C534" s="13" t="s">
        <v>22</v>
      </c>
      <c r="D534" s="14"/>
      <c r="E534" s="9">
        <v>172.5</v>
      </c>
      <c r="F534" s="9">
        <f t="shared" si="18"/>
        <v>0</v>
      </c>
      <c r="G534" s="13"/>
      <c r="H534" s="14" t="str">
        <f>HYPERLINK("https://pulti.ua/tv/pult-dlja-philips-rc-434601b")</f>
        <v>https://pulti.ua/tv/pult-dlja-philips-rc-434601b</v>
      </c>
    </row>
    <row r="535" spans="1:8" s="18" customFormat="1" ht="15" customHeight="1">
      <c r="A535" s="11">
        <v>1572</v>
      </c>
      <c r="B535" s="12" t="s">
        <v>503</v>
      </c>
      <c r="C535" s="13" t="s">
        <v>22</v>
      </c>
      <c r="D535" s="14"/>
      <c r="E535" s="9">
        <v>142.5</v>
      </c>
      <c r="F535" s="9">
        <f t="shared" si="18"/>
        <v>0</v>
      </c>
      <c r="G535" s="13"/>
      <c r="H535" s="14" t="str">
        <f>HYPERLINK("https://pulti.ua/tv/pult-dlja-philips-rc-440101-ambilight")</f>
        <v>https://pulti.ua/tv/pult-dlja-philips-rc-440101-ambilight</v>
      </c>
    </row>
    <row r="536" spans="1:8" s="18" customFormat="1" ht="15" customHeight="1">
      <c r="A536" s="11">
        <v>1573</v>
      </c>
      <c r="B536" s="12" t="s">
        <v>504</v>
      </c>
      <c r="C536" s="13" t="s">
        <v>22</v>
      </c>
      <c r="D536" s="14"/>
      <c r="E536" s="9">
        <v>75</v>
      </c>
      <c r="F536" s="9">
        <f t="shared" si="18"/>
        <v>0</v>
      </c>
      <c r="G536" s="13"/>
      <c r="H536" s="14" t="str">
        <f>HYPERLINK("https://pulti.ua/tv/pult-dlja-philips-rc-4450-01--ambilight")</f>
        <v>https://pulti.ua/tv/pult-dlja-philips-rc-4450-01--ambilight</v>
      </c>
    </row>
    <row r="537" spans="1:8" s="18" customFormat="1" ht="15" customHeight="1">
      <c r="A537" s="11">
        <v>1578</v>
      </c>
      <c r="B537" s="12" t="s">
        <v>505</v>
      </c>
      <c r="C537" s="13" t="s">
        <v>11</v>
      </c>
      <c r="D537" s="14"/>
      <c r="E537" s="9">
        <v>101.3</v>
      </c>
      <c r="F537" s="9">
        <f t="shared" si="18"/>
        <v>0</v>
      </c>
      <c r="G537" s="13"/>
      <c r="H537" s="14" t="str">
        <f>HYPERLINK("https://pulti.ua/tv/pult-dlja--philips-rc-753501")</f>
        <v>https://pulti.ua/tv/pult-dlja--philips-rc-753501</v>
      </c>
    </row>
    <row r="538" spans="1:8" s="18" customFormat="1" ht="15" customHeight="1">
      <c r="A538" s="11">
        <v>1579</v>
      </c>
      <c r="B538" s="12" t="s">
        <v>506</v>
      </c>
      <c r="C538" s="13" t="s">
        <v>11</v>
      </c>
      <c r="D538" s="14"/>
      <c r="E538" s="9">
        <v>67.5</v>
      </c>
      <c r="F538" s="9">
        <f t="shared" si="18"/>
        <v>0</v>
      </c>
      <c r="G538" s="13"/>
      <c r="H538" s="14" t="str">
        <f>HYPERLINK("https://pulti.ua/tv/pult-dlja-philips-rc-7802")</f>
        <v>https://pulti.ua/tv/pult-dlja-philips-rc-7802</v>
      </c>
    </row>
    <row r="539" spans="1:8" s="18" customFormat="1" ht="15" customHeight="1">
      <c r="A539" s="11">
        <v>1584</v>
      </c>
      <c r="B539" s="12" t="s">
        <v>507</v>
      </c>
      <c r="C539" s="13" t="s">
        <v>11</v>
      </c>
      <c r="D539" s="14"/>
      <c r="E539" s="9">
        <v>61.9</v>
      </c>
      <c r="F539" s="9">
        <f t="shared" si="18"/>
        <v>0</v>
      </c>
      <c r="G539" s="13"/>
      <c r="H539" s="14" t="str">
        <f>HYPERLINK("https://pulti.ua/tv/pult-dlja-philips-rc-820501")</f>
        <v>https://pulti.ua/tv/pult-dlja-philips-rc-820501</v>
      </c>
    </row>
    <row r="540" spans="1:8" s="18" customFormat="1" ht="15" customHeight="1">
      <c r="A540" s="39">
        <v>2896</v>
      </c>
      <c r="B540" s="26" t="s">
        <v>508</v>
      </c>
      <c r="C540" s="13" t="s">
        <v>11</v>
      </c>
      <c r="D540" s="14"/>
      <c r="E540" s="9">
        <v>69.4</v>
      </c>
      <c r="F540" s="9">
        <f t="shared" si="18"/>
        <v>0</v>
      </c>
      <c r="G540" s="13"/>
      <c r="H540" s="14" t="str">
        <f>HYPERLINK("https://pulti.ua/tv/pult-dlja-philips-rc-820501-ic")</f>
        <v>https://pulti.ua/tv/pult-dlja-philips-rc-820501-ic</v>
      </c>
    </row>
    <row r="541" spans="1:8" s="18" customFormat="1" ht="15" customHeight="1">
      <c r="A541" s="11">
        <v>1587</v>
      </c>
      <c r="B541" s="12" t="s">
        <v>509</v>
      </c>
      <c r="C541" s="13" t="s">
        <v>11</v>
      </c>
      <c r="D541" s="14"/>
      <c r="E541" s="9">
        <v>150</v>
      </c>
      <c r="F541" s="9">
        <f t="shared" si="18"/>
        <v>0</v>
      </c>
      <c r="G541" s="13"/>
      <c r="H541" s="14" t="str">
        <f>HYPERLINK("https://pulti.ua/tv/pult-dlja-philips-rc-892701")</f>
        <v>https://pulti.ua/tv/pult-dlja-philips-rc-892701</v>
      </c>
    </row>
    <row r="542" spans="1:8" s="18" customFormat="1" ht="15" customHeight="1">
      <c r="A542" s="39">
        <v>3732</v>
      </c>
      <c r="B542" s="26" t="s">
        <v>510</v>
      </c>
      <c r="C542" s="13" t="s">
        <v>14</v>
      </c>
      <c r="D542" s="14"/>
      <c r="E542" s="9">
        <v>86.3</v>
      </c>
      <c r="F542" s="9">
        <f t="shared" si="18"/>
        <v>0</v>
      </c>
      <c r="G542" s="13"/>
      <c r="H542" s="14" t="str">
        <f>HYPERLINK("https://pulti.ua/tv/pult-dlja-philips-rc9965-900-09443-ic")</f>
        <v>https://pulti.ua/tv/pult-dlja-philips-rc9965-900-09443-ic</v>
      </c>
    </row>
    <row r="543" spans="1:8" s="18" customFormat="1" ht="15" customHeight="1">
      <c r="A543" s="39">
        <v>3733</v>
      </c>
      <c r="B543" s="26" t="s">
        <v>511</v>
      </c>
      <c r="C543" s="13" t="s">
        <v>14</v>
      </c>
      <c r="D543" s="14"/>
      <c r="E543" s="9">
        <v>82.5</v>
      </c>
      <c r="F543" s="9">
        <f t="shared" si="18"/>
        <v>0</v>
      </c>
      <c r="G543" s="13"/>
      <c r="H543" s="14" t="str">
        <f>HYPERLINK("https://pulti.ua/tv/pult-dlja-philips-rc9965-900-09748-smart-tv-ic")</f>
        <v>https://pulti.ua/tv/pult-dlja-philips-rc9965-900-09748-smart-tv-ic</v>
      </c>
    </row>
    <row r="544" spans="1:8" s="18" customFormat="1" ht="15" customHeight="1">
      <c r="A544" s="11">
        <v>2595</v>
      </c>
      <c r="B544" s="12" t="s">
        <v>512</v>
      </c>
      <c r="C544" s="13" t="s">
        <v>11</v>
      </c>
      <c r="D544" s="14"/>
      <c r="E544" s="9">
        <v>46.9</v>
      </c>
      <c r="F544" s="9">
        <f t="shared" si="18"/>
        <v>0</v>
      </c>
      <c r="G544" s="13"/>
      <c r="H544" s="14" t="str">
        <f>HYPERLINK("https://pulti.ua/tv/pult-dlja-philips-saa3010t")</f>
        <v>https://pulti.ua/tv/pult-dlja-philips-saa3010t</v>
      </c>
    </row>
    <row r="545" spans="1:8" s="18" customFormat="1" ht="15" customHeight="1">
      <c r="A545" s="11">
        <v>1588</v>
      </c>
      <c r="B545" s="12" t="s">
        <v>513</v>
      </c>
      <c r="C545" s="13" t="s">
        <v>11</v>
      </c>
      <c r="D545" s="14"/>
      <c r="E545" s="9">
        <v>78.8</v>
      </c>
      <c r="F545" s="9">
        <f t="shared" si="18"/>
        <v>0</v>
      </c>
      <c r="G545" s="13"/>
      <c r="H545" s="14" t="str">
        <f>HYPERLINK("https://pulti.ua/tv/pult-dlja-philips-sbc-rp520")</f>
        <v>https://pulti.ua/tv/pult-dlja-philips-sbc-rp520</v>
      </c>
    </row>
    <row r="546" spans="1:8" s="18" customFormat="1" ht="15" customHeight="1">
      <c r="A546" s="39">
        <v>2740</v>
      </c>
      <c r="B546" s="26" t="s">
        <v>514</v>
      </c>
      <c r="C546" s="13" t="s">
        <v>295</v>
      </c>
      <c r="D546" s="14"/>
      <c r="E546" s="9">
        <v>86.3</v>
      </c>
      <c r="F546" s="9">
        <f t="shared" si="18"/>
        <v>0</v>
      </c>
      <c r="G546" s="13"/>
      <c r="H546" s="14" t="str">
        <f>HYPERLINK("https://pulti.ua/tv/pult-dlja-pioneer-axd1552")</f>
        <v>https://pulti.ua/tv/pult-dlja-pioneer-axd1552</v>
      </c>
    </row>
    <row r="547" spans="1:8" s="18" customFormat="1" ht="15" customHeight="1">
      <c r="A547" s="39">
        <v>3315</v>
      </c>
      <c r="B547" s="26" t="s">
        <v>515</v>
      </c>
      <c r="C547" s="13" t="s">
        <v>22</v>
      </c>
      <c r="D547" s="14"/>
      <c r="E547" s="9">
        <v>206.3</v>
      </c>
      <c r="F547" s="9">
        <f t="shared" si="18"/>
        <v>0</v>
      </c>
      <c r="G547" s="13"/>
      <c r="H547" s="14" t="str">
        <f>HYPERLINK("https://pulti.ua/tv/pult-dlja-polar-48ltv3101")</f>
        <v>https://pulti.ua/tv/pult-dlja-polar-48ltv3101</v>
      </c>
    </row>
    <row r="548" spans="1:8" s="18" customFormat="1" ht="15" customHeight="1">
      <c r="A548" s="39">
        <v>3078</v>
      </c>
      <c r="B548" s="26" t="s">
        <v>516</v>
      </c>
      <c r="C548" s="13" t="s">
        <v>11</v>
      </c>
      <c r="D548" s="14"/>
      <c r="E548" s="9">
        <v>61.9</v>
      </c>
      <c r="F548" s="9">
        <f t="shared" si="18"/>
        <v>0</v>
      </c>
      <c r="G548" s="13"/>
      <c r="H548" s="14" t="str">
        <f>HYPERLINK("https://pulti.ua/tv/pult-dlja-polar-8897-ic")</f>
        <v>https://pulti.ua/tv/pult-dlja-polar-8897-ic</v>
      </c>
    </row>
    <row r="549" spans="1:8" s="18" customFormat="1" ht="15" customHeight="1">
      <c r="A549" s="39">
        <v>4017</v>
      </c>
      <c r="B549" s="26" t="s">
        <v>517</v>
      </c>
      <c r="C549" s="13" t="s">
        <v>14</v>
      </c>
      <c r="D549" s="14"/>
      <c r="E549" s="9">
        <v>150</v>
      </c>
      <c r="F549" s="9">
        <f t="shared" si="18"/>
        <v>0</v>
      </c>
      <c r="G549" s="13"/>
      <c r="H549" s="14" t="str">
        <f>HYPERLINK("https://pulti.ua/tv/pult-dlja-polar-94ltv6004")</f>
        <v>https://pulti.ua/tv/pult-dlja-polar-94ltv6004</v>
      </c>
    </row>
    <row r="550" spans="1:8" s="18" customFormat="1" ht="15" customHeight="1">
      <c r="A550" s="39">
        <v>3341</v>
      </c>
      <c r="B550" s="26" t="s">
        <v>518</v>
      </c>
      <c r="C550" s="13" t="s">
        <v>22</v>
      </c>
      <c r="D550" s="14"/>
      <c r="E550" s="9">
        <v>270</v>
      </c>
      <c r="F550" s="9">
        <f t="shared" si="18"/>
        <v>0</v>
      </c>
      <c r="G550" s="13"/>
      <c r="H550" s="14" t="str">
        <f>HYPERLINK("https://pulti.ua/tv/pult-dlja-polar-htr-d18a")</f>
        <v>https://pulti.ua/tv/pult-dlja-polar-htr-d18a</v>
      </c>
    </row>
    <row r="551" spans="1:8" s="18" customFormat="1" ht="15" customHeight="1">
      <c r="A551" s="39">
        <v>3394</v>
      </c>
      <c r="B551" s="26" t="s">
        <v>519</v>
      </c>
      <c r="C551" s="13" t="s">
        <v>11</v>
      </c>
      <c r="D551" s="14"/>
      <c r="E551" s="9">
        <v>123.8</v>
      </c>
      <c r="F551" s="9">
        <f t="shared" si="18"/>
        <v>0</v>
      </c>
      <c r="G551" s="13"/>
      <c r="H551" s="14" t="str">
        <f>HYPERLINK("https://pulti.ua/tv/pult-dlja-polar-rc05-51")</f>
        <v>https://pulti.ua/tv/pult-dlja-polar-rc05-51</v>
      </c>
    </row>
    <row r="552" spans="1:8" s="18" customFormat="1" ht="15" customHeight="1">
      <c r="A552" s="11">
        <v>2742</v>
      </c>
      <c r="B552" s="12" t="s">
        <v>520</v>
      </c>
      <c r="C552" s="13" t="s">
        <v>11</v>
      </c>
      <c r="D552" s="14"/>
      <c r="E552" s="9">
        <v>56.3</v>
      </c>
      <c r="F552" s="9">
        <f t="shared" si="18"/>
        <v>0</v>
      </c>
      <c r="G552" s="13"/>
      <c r="H552" s="14" t="str">
        <f>HYPERLINK("https://pulti.ua/tv/pult-dlja-polar-rc-2101ms")</f>
        <v>https://pulti.ua/tv/pult-dlja-polar-rc-2101ms</v>
      </c>
    </row>
    <row r="553" spans="1:8" s="18" customFormat="1" ht="15" customHeight="1">
      <c r="A553" s="11">
        <v>2743</v>
      </c>
      <c r="B553" s="12" t="s">
        <v>521</v>
      </c>
      <c r="C553" s="13" t="s">
        <v>11</v>
      </c>
      <c r="D553" s="14"/>
      <c r="E553" s="9">
        <v>36.4</v>
      </c>
      <c r="F553" s="9">
        <f t="shared" si="18"/>
        <v>0</v>
      </c>
      <c r="G553" s="13"/>
      <c r="H553" s="14" t="str">
        <f>HYPERLINK("https://pulti.ua/tv/pult--dlja-polar-rc-2201")</f>
        <v>https://pulti.ua/tv/pult--dlja-polar-rc-2201</v>
      </c>
    </row>
    <row r="554" spans="1:8" s="18" customFormat="1" ht="15" customHeight="1">
      <c r="A554" s="39">
        <v>2744</v>
      </c>
      <c r="B554" s="26" t="s">
        <v>522</v>
      </c>
      <c r="C554" s="13" t="s">
        <v>11</v>
      </c>
      <c r="D554" s="14"/>
      <c r="E554" s="9">
        <v>105</v>
      </c>
      <c r="F554" s="9">
        <f t="shared" si="18"/>
        <v>0</v>
      </c>
      <c r="G554" s="13"/>
      <c r="H554" s="14" t="str">
        <f>HYPERLINK("https://pulti.ua/tv/pult-dlja-polar-rc-28")</f>
        <v>https://pulti.ua/tv/pult-dlja-polar-rc-28</v>
      </c>
    </row>
    <row r="555" spans="1:8" s="18" customFormat="1" ht="15" customHeight="1">
      <c r="A555" s="11">
        <v>1621</v>
      </c>
      <c r="B555" s="12" t="s">
        <v>523</v>
      </c>
      <c r="C555" s="13" t="s">
        <v>11</v>
      </c>
      <c r="D555" s="14"/>
      <c r="E555" s="9">
        <v>48.8</v>
      </c>
      <c r="F555" s="9">
        <f t="shared" si="18"/>
        <v>0</v>
      </c>
      <c r="G555" s="13"/>
      <c r="H555" s="14" t="str">
        <f>HYPERLINK("https://pulti.ua/tv/pult-dlja-rainford-rc-55e")</f>
        <v>https://pulti.ua/tv/pult-dlja-rainford-rc-55e</v>
      </c>
    </row>
    <row r="556" spans="1:8" s="18" customFormat="1" ht="15" customHeight="1">
      <c r="A556" s="11">
        <v>1622</v>
      </c>
      <c r="B556" s="12" t="s">
        <v>524</v>
      </c>
      <c r="C556" s="13" t="s">
        <v>11</v>
      </c>
      <c r="D556" s="14"/>
      <c r="E556" s="9">
        <v>45</v>
      </c>
      <c r="F556" s="9">
        <f t="shared" si="18"/>
        <v>0</v>
      </c>
      <c r="G556" s="13"/>
      <c r="H556" s="14" t="str">
        <f>HYPERLINK("https://pulti.ua/tv/pult-dlja-rainford-rc-70e")</f>
        <v>https://pulti.ua/tv/pult-dlja-rainford-rc-70e</v>
      </c>
    </row>
    <row r="557" spans="1:8" s="18" customFormat="1" ht="15" customHeight="1">
      <c r="A557" s="11">
        <v>1625</v>
      </c>
      <c r="B557" s="12" t="s">
        <v>525</v>
      </c>
      <c r="C557" s="13" t="s">
        <v>11</v>
      </c>
      <c r="D557" s="14"/>
      <c r="E557" s="9">
        <v>52.5</v>
      </c>
      <c r="F557" s="9">
        <f t="shared" si="18"/>
        <v>0</v>
      </c>
      <c r="G557" s="13"/>
      <c r="H557" s="14" t="str">
        <f>HYPERLINK("https://pulti.ua/tv/pult-dlja-rainford-rc-1045")</f>
        <v>https://pulti.ua/tv/pult-dlja-rainford-rc-1045</v>
      </c>
    </row>
    <row r="558" spans="1:8" s="18" customFormat="1" ht="15" customHeight="1">
      <c r="A558" s="39">
        <v>1626</v>
      </c>
      <c r="B558" s="26" t="s">
        <v>526</v>
      </c>
      <c r="C558" s="13" t="s">
        <v>11</v>
      </c>
      <c r="D558" s="15" t="s">
        <v>1314</v>
      </c>
      <c r="E558" s="9">
        <v>56.3</v>
      </c>
      <c r="F558" s="9"/>
      <c r="G558" s="13"/>
      <c r="H558" s="14" t="str">
        <f>HYPERLINK("https://pulti.ua/tv/pult-dlja-rainford-rc-1045-ic")</f>
        <v>https://pulti.ua/tv/pult-dlja-rainford-rc-1045-ic</v>
      </c>
    </row>
    <row r="559" spans="1:8" s="18" customFormat="1" ht="15" customHeight="1">
      <c r="A559" s="11">
        <v>1632</v>
      </c>
      <c r="B559" s="12" t="s">
        <v>527</v>
      </c>
      <c r="C559" s="13" t="s">
        <v>11</v>
      </c>
      <c r="D559" s="14"/>
      <c r="E559" s="9">
        <v>64.5</v>
      </c>
      <c r="F559" s="9">
        <f aca="true" t="shared" si="19" ref="F559:F602">D559*E559</f>
        <v>0</v>
      </c>
      <c r="G559" s="13"/>
      <c r="H559" s="14" t="str">
        <f>HYPERLINK("https://pulti.ua/tv/pult-dlja-rainford-rc-1940")</f>
        <v>https://pulti.ua/tv/pult-dlja-rainford-rc-1940</v>
      </c>
    </row>
    <row r="560" spans="1:8" s="18" customFormat="1" ht="15" customHeight="1">
      <c r="A560" s="39">
        <v>1633</v>
      </c>
      <c r="B560" s="26" t="s">
        <v>528</v>
      </c>
      <c r="C560" s="13" t="s">
        <v>11</v>
      </c>
      <c r="D560" s="14"/>
      <c r="E560" s="9">
        <v>75</v>
      </c>
      <c r="F560" s="9">
        <f t="shared" si="19"/>
        <v>0</v>
      </c>
      <c r="G560" s="13"/>
      <c r="H560" s="14" t="str">
        <f>HYPERLINK("https://pulti.ua/tv/pult-dlja-rainford-rc-1940-ic")</f>
        <v>https://pulti.ua/tv/pult-dlja-rainford-rc-1940-ic</v>
      </c>
    </row>
    <row r="561" spans="1:8" s="18" customFormat="1" ht="15" customHeight="1">
      <c r="A561" s="11">
        <v>1617</v>
      </c>
      <c r="B561" s="12" t="s">
        <v>529</v>
      </c>
      <c r="C561" s="13" t="s">
        <v>11</v>
      </c>
      <c r="D561" s="14"/>
      <c r="E561" s="9">
        <v>52.5</v>
      </c>
      <c r="F561" s="9">
        <f t="shared" si="19"/>
        <v>0</v>
      </c>
      <c r="G561" s="13"/>
      <c r="H561" s="14" t="str">
        <f>HYPERLINK("https://pulti.ua/tv/pult-dlja-rainford-1ce3-black")</f>
        <v>https://pulti.ua/tv/pult-dlja-rainford-1ce3-black</v>
      </c>
    </row>
    <row r="562" spans="1:8" s="18" customFormat="1" ht="15" customHeight="1">
      <c r="A562" s="39">
        <v>1636</v>
      </c>
      <c r="B562" s="26" t="s">
        <v>530</v>
      </c>
      <c r="C562" s="13" t="s">
        <v>11</v>
      </c>
      <c r="D562" s="14"/>
      <c r="E562" s="9">
        <v>71.3</v>
      </c>
      <c r="F562" s="9">
        <f t="shared" si="19"/>
        <v>0</v>
      </c>
      <c r="G562" s="13"/>
      <c r="H562" s="14" t="str">
        <f>HYPERLINK("https://pulti.ua/tv/pult-dlja-rainford-rc-2040-black-ic")</f>
        <v>https://pulti.ua/tv/pult-dlja-rainford-rc-2040-black-ic</v>
      </c>
    </row>
    <row r="563" spans="1:8" s="18" customFormat="1" ht="15" customHeight="1">
      <c r="A563" s="39">
        <v>1637</v>
      </c>
      <c r="B563" s="26" t="s">
        <v>531</v>
      </c>
      <c r="C563" s="13" t="s">
        <v>11</v>
      </c>
      <c r="D563" s="14"/>
      <c r="E563" s="9">
        <v>65.6</v>
      </c>
      <c r="F563" s="9">
        <f t="shared" si="19"/>
        <v>0</v>
      </c>
      <c r="G563" s="13"/>
      <c r="H563" s="14" t="str">
        <f>HYPERLINK("https://pulti.ua/tv/pult-dlja-rainford-rc-2040-ic-medium-case")</f>
        <v>https://pulti.ua/tv/pult-dlja-rainford-rc-2040-ic-medium-case</v>
      </c>
    </row>
    <row r="564" spans="1:8" s="18" customFormat="1" ht="15" customHeight="1">
      <c r="A564" s="11">
        <v>1635</v>
      </c>
      <c r="B564" s="12" t="s">
        <v>532</v>
      </c>
      <c r="C564" s="13" t="s">
        <v>11</v>
      </c>
      <c r="D564" s="14"/>
      <c r="E564" s="9">
        <v>63.8</v>
      </c>
      <c r="F564" s="9">
        <f t="shared" si="19"/>
        <v>0</v>
      </c>
      <c r="G564" s="13"/>
      <c r="H564" s="14" t="str">
        <f>HYPERLINK("https://pulti.ua/tv/pult-dlja-rainford-rc-2040-grey")</f>
        <v>https://pulti.ua/tv/pult-dlja-rainford-rc-2040-grey</v>
      </c>
    </row>
    <row r="565" spans="1:8" s="18" customFormat="1" ht="15" customHeight="1">
      <c r="A565" s="11">
        <v>1642</v>
      </c>
      <c r="B565" s="12" t="s">
        <v>533</v>
      </c>
      <c r="C565" s="13" t="s">
        <v>11</v>
      </c>
      <c r="D565" s="14"/>
      <c r="E565" s="9">
        <v>67.5</v>
      </c>
      <c r="F565" s="9">
        <f t="shared" si="19"/>
        <v>0</v>
      </c>
      <c r="G565" s="13"/>
      <c r="H565" s="14" t="str">
        <f>HYPERLINK("https://pulti.ua/tv/pult-dlja-rainford-rc-2240")</f>
        <v>https://pulti.ua/tv/pult-dlja-rainford-rc-2240</v>
      </c>
    </row>
    <row r="566" spans="1:8" s="18" customFormat="1" ht="15" customHeight="1">
      <c r="A566" s="39">
        <v>1618</v>
      </c>
      <c r="B566" s="26" t="s">
        <v>534</v>
      </c>
      <c r="C566" s="13" t="s">
        <v>11</v>
      </c>
      <c r="D566" s="14"/>
      <c r="E566" s="9">
        <v>67.5</v>
      </c>
      <c r="F566" s="9">
        <f t="shared" si="19"/>
        <v>0</v>
      </c>
      <c r="G566" s="13"/>
      <c r="H566" s="14" t="str">
        <f>HYPERLINK("https://pulti.ua/tv/pult-dlja-rainford-hx-t07")</f>
        <v>https://pulti.ua/tv/pult-dlja-rainford-hx-t07</v>
      </c>
    </row>
    <row r="567" spans="1:8" s="18" customFormat="1" ht="15" customHeight="1">
      <c r="A567" s="11">
        <v>1620</v>
      </c>
      <c r="B567" s="12" t="s">
        <v>535</v>
      </c>
      <c r="C567" s="13" t="s">
        <v>11</v>
      </c>
      <c r="D567" s="14"/>
      <c r="E567" s="9">
        <v>56.3</v>
      </c>
      <c r="F567" s="9">
        <f t="shared" si="19"/>
        <v>0</v>
      </c>
      <c r="G567" s="13"/>
      <c r="H567" s="14" t="str">
        <f>HYPERLINK("https://pulti.ua/tv/pult-dlja-rainford-oval9012-rc-224")</f>
        <v>https://pulti.ua/tv/pult-dlja-rainford-oval9012-rc-224</v>
      </c>
    </row>
    <row r="568" spans="1:8" s="18" customFormat="1" ht="15" customHeight="1">
      <c r="A568" s="39">
        <v>1629</v>
      </c>
      <c r="B568" s="26" t="s">
        <v>536</v>
      </c>
      <c r="C568" s="13" t="s">
        <v>11</v>
      </c>
      <c r="D568" s="14"/>
      <c r="E568" s="9">
        <v>59.3</v>
      </c>
      <c r="F568" s="9">
        <f t="shared" si="19"/>
        <v>0</v>
      </c>
      <c r="G568" s="13"/>
      <c r="H568" s="14" t="str">
        <f>HYPERLINK("https://pulti.ua/tv/pult-dlja-rainford-rc-1241-ic")</f>
        <v>https://pulti.ua/tv/pult-dlja-rainford-rc-1241-ic</v>
      </c>
    </row>
    <row r="569" spans="1:8" s="18" customFormat="1" ht="15" customHeight="1">
      <c r="A569" s="11">
        <v>1628</v>
      </c>
      <c r="B569" s="12" t="s">
        <v>537</v>
      </c>
      <c r="C569" s="13" t="s">
        <v>11</v>
      </c>
      <c r="D569" s="14"/>
      <c r="E569" s="9">
        <v>54.4</v>
      </c>
      <c r="F569" s="9">
        <f t="shared" si="19"/>
        <v>0</v>
      </c>
      <c r="G569" s="13"/>
      <c r="H569" s="14" t="str">
        <f>HYPERLINK("https://pulti.ua/tv/pult-dlja-rainford-rc-1241--big-case")</f>
        <v>https://pulti.ua/tv/pult-dlja-rainford-rc-1241--big-case</v>
      </c>
    </row>
    <row r="570" spans="1:8" s="18" customFormat="1" ht="15" customHeight="1">
      <c r="A570" s="11">
        <v>1634</v>
      </c>
      <c r="B570" s="12" t="s">
        <v>538</v>
      </c>
      <c r="C570" s="13" t="s">
        <v>11</v>
      </c>
      <c r="D570" s="14"/>
      <c r="E570" s="9">
        <v>61.9</v>
      </c>
      <c r="F570" s="9">
        <f t="shared" si="19"/>
        <v>0</v>
      </c>
      <c r="G570" s="13"/>
      <c r="H570" s="14" t="str">
        <f>HYPERLINK("https://pulti.ua/tv/pult-dlja-rainford-rc-2000")</f>
        <v>https://pulti.ua/tv/pult-dlja-rainford-rc-2000</v>
      </c>
    </row>
    <row r="571" spans="1:8" s="18" customFormat="1" ht="15" customHeight="1">
      <c r="A571" s="11">
        <v>1645</v>
      </c>
      <c r="B571" s="12" t="s">
        <v>539</v>
      </c>
      <c r="C571" s="13" t="s">
        <v>22</v>
      </c>
      <c r="D571" s="14"/>
      <c r="E571" s="9">
        <v>67.5</v>
      </c>
      <c r="F571" s="9">
        <f t="shared" si="19"/>
        <v>0</v>
      </c>
      <c r="G571" s="13"/>
      <c r="H571" s="14" t="str">
        <f>HYPERLINK("https://pulti.ua/tv/pult-dlja--rainford-rc-332clr")</f>
        <v>https://pulti.ua/tv/pult-dlja--rainford-rc-332clr</v>
      </c>
    </row>
    <row r="572" spans="1:8" s="18" customFormat="1" ht="15" customHeight="1">
      <c r="A572" s="11">
        <v>1646</v>
      </c>
      <c r="B572" s="12" t="s">
        <v>540</v>
      </c>
      <c r="C572" s="13" t="s">
        <v>22</v>
      </c>
      <c r="D572" s="14"/>
      <c r="E572" s="9">
        <v>76.9</v>
      </c>
      <c r="F572" s="9">
        <f t="shared" si="19"/>
        <v>0</v>
      </c>
      <c r="G572" s="13"/>
      <c r="H572" s="14" t="str">
        <f>HYPERLINK("https://pulti.ua/tv/pult-dlja-rainford-rc-5010-11")</f>
        <v>https://pulti.ua/tv/pult-dlja-rainford-rc-5010-11</v>
      </c>
    </row>
    <row r="573" spans="1:8" s="18" customFormat="1" ht="15" customHeight="1">
      <c r="A573" s="11">
        <v>1650</v>
      </c>
      <c r="B573" s="12" t="s">
        <v>541</v>
      </c>
      <c r="C573" s="13" t="s">
        <v>11</v>
      </c>
      <c r="D573" s="14"/>
      <c r="E573" s="9">
        <v>56.3</v>
      </c>
      <c r="F573" s="9">
        <f t="shared" si="19"/>
        <v>0</v>
      </c>
      <c r="G573" s="13"/>
      <c r="H573" s="14" t="str">
        <f>HYPERLINK("https://pulti.ua/tv/pult-dlja-rainford-rm-112-n-next")</f>
        <v>https://pulti.ua/tv/pult-dlja-rainford-rm-112-n-next</v>
      </c>
    </row>
    <row r="574" spans="1:8" s="18" customFormat="1" ht="15" customHeight="1">
      <c r="A574" s="39">
        <v>3242</v>
      </c>
      <c r="B574" s="26" t="s">
        <v>542</v>
      </c>
      <c r="C574" s="13" t="s">
        <v>11</v>
      </c>
      <c r="D574" s="14"/>
      <c r="E574" s="9">
        <v>69.4</v>
      </c>
      <c r="F574" s="9">
        <f t="shared" si="19"/>
        <v>0</v>
      </c>
      <c r="G574" s="13"/>
      <c r="H574" s="14" t="str">
        <f>HYPERLINK("https://pulti.ua/tv/pult-dlja-rainford-rm-112-ic-n-next")</f>
        <v>https://pulti.ua/tv/pult-dlja-rainford-rm-112-ic-n-next</v>
      </c>
    </row>
    <row r="575" spans="1:8" s="18" customFormat="1" ht="15" customHeight="1">
      <c r="A575" s="11">
        <v>1651</v>
      </c>
      <c r="B575" s="12" t="s">
        <v>543</v>
      </c>
      <c r="C575" s="13" t="s">
        <v>11</v>
      </c>
      <c r="D575" s="14"/>
      <c r="E575" s="9">
        <v>41.3</v>
      </c>
      <c r="F575" s="9">
        <f t="shared" si="19"/>
        <v>0</v>
      </c>
      <c r="G575" s="13"/>
      <c r="H575" s="14" t="str">
        <f>HYPERLINK("https://pulti.ua/tv/pult-dlja-rainford-rp-010")</f>
        <v>https://pulti.ua/tv/pult-dlja-rainford-rp-010</v>
      </c>
    </row>
    <row r="576" spans="1:8" s="18" customFormat="1" ht="15" customHeight="1">
      <c r="A576" s="11">
        <v>1652</v>
      </c>
      <c r="B576" s="12" t="s">
        <v>544</v>
      </c>
      <c r="C576" s="13" t="s">
        <v>11</v>
      </c>
      <c r="D576" s="14"/>
      <c r="E576" s="9">
        <v>54.4</v>
      </c>
      <c r="F576" s="9">
        <f t="shared" si="19"/>
        <v>0</v>
      </c>
      <c r="G576" s="13"/>
      <c r="H576" s="14" t="str">
        <f>HYPERLINK("https://pulti.ua/tv/pult-dlja-rainford-sf-148")</f>
        <v>https://pulti.ua/tv/pult-dlja-rainford-sf-148</v>
      </c>
    </row>
    <row r="577" spans="1:8" s="18" customFormat="1" ht="15" customHeight="1">
      <c r="A577" s="11">
        <v>2598</v>
      </c>
      <c r="B577" s="12" t="s">
        <v>545</v>
      </c>
      <c r="C577" s="13" t="s">
        <v>11</v>
      </c>
      <c r="D577" s="14"/>
      <c r="E577" s="9">
        <v>52.5</v>
      </c>
      <c r="F577" s="9">
        <f t="shared" si="19"/>
        <v>0</v>
      </c>
      <c r="G577" s="13"/>
      <c r="H577" s="14" t="str">
        <f>HYPERLINK("https://pulti.ua/tv/pult-dlja-rc-5f-ribka")</f>
        <v>https://pulti.ua/tv/pult-dlja-rc-5f-ribka</v>
      </c>
    </row>
    <row r="578" spans="1:8" s="18" customFormat="1" ht="15" customHeight="1">
      <c r="A578" s="11">
        <v>2600</v>
      </c>
      <c r="B578" s="12" t="s">
        <v>546</v>
      </c>
      <c r="C578" s="13" t="s">
        <v>11</v>
      </c>
      <c r="D578" s="14"/>
      <c r="E578" s="9">
        <v>46.9</v>
      </c>
      <c r="F578" s="9">
        <f t="shared" si="19"/>
        <v>0</v>
      </c>
      <c r="G578" s="13"/>
      <c r="H578" s="14" t="str">
        <f>HYPERLINK("https://pulti.ua/tv/pult-dlja-rc-6")</f>
        <v>https://pulti.ua/tv/pult-dlja-rc-6</v>
      </c>
    </row>
    <row r="579" spans="1:8" s="18" customFormat="1" ht="15" customHeight="1">
      <c r="A579" s="11">
        <v>2602</v>
      </c>
      <c r="B579" s="12" t="s">
        <v>547</v>
      </c>
      <c r="C579" s="13" t="s">
        <v>11</v>
      </c>
      <c r="D579" s="14"/>
      <c r="E579" s="9">
        <v>41.3</v>
      </c>
      <c r="F579" s="9">
        <f t="shared" si="19"/>
        <v>0</v>
      </c>
      <c r="G579" s="13"/>
      <c r="H579" s="14" t="str">
        <f>HYPERLINK("https://pulti.ua/tv/pult-rc-6-mini-bez-batareiki")</f>
        <v>https://pulti.ua/tv/pult-rc-6-mini-bez-batareiki</v>
      </c>
    </row>
    <row r="580" spans="1:8" s="18" customFormat="1" ht="15" customHeight="1">
      <c r="A580" s="39">
        <v>1354</v>
      </c>
      <c r="B580" s="26" t="s">
        <v>548</v>
      </c>
      <c r="C580" s="13" t="s">
        <v>11</v>
      </c>
      <c r="D580" s="14"/>
      <c r="E580" s="9">
        <v>56.3</v>
      </c>
      <c r="F580" s="9">
        <f t="shared" si="19"/>
        <v>0</v>
      </c>
      <c r="G580" s="13"/>
      <c r="H580" s="14" t="str">
        <f>HYPERLINK("https://pulti.ua/tv/pult-dlja-rc-6-mini-ic")</f>
        <v>https://pulti.ua/tv/pult-dlja-rc-6-mini-ic</v>
      </c>
    </row>
    <row r="581" spans="1:8" s="18" customFormat="1" ht="15" customHeight="1">
      <c r="A581" s="11">
        <v>2747</v>
      </c>
      <c r="B581" s="12" t="s">
        <v>549</v>
      </c>
      <c r="C581" s="13" t="s">
        <v>11</v>
      </c>
      <c r="D581" s="14"/>
      <c r="E581" s="9">
        <v>56.3</v>
      </c>
      <c r="F581" s="9">
        <f t="shared" si="19"/>
        <v>0</v>
      </c>
      <c r="G581" s="13"/>
      <c r="H581" s="14" t="str">
        <f>HYPERLINK("https://pulti.ua/tv/pult-dlja-rekord-g1")</f>
        <v>https://pulti.ua/tv/pult-dlja-rekord-g1</v>
      </c>
    </row>
    <row r="582" spans="1:8" s="18" customFormat="1" ht="15" customHeight="1">
      <c r="A582" s="39">
        <v>2750</v>
      </c>
      <c r="B582" s="26" t="s">
        <v>550</v>
      </c>
      <c r="C582" s="13" t="s">
        <v>11</v>
      </c>
      <c r="D582" s="14"/>
      <c r="E582" s="9">
        <v>116.3</v>
      </c>
      <c r="F582" s="9">
        <f t="shared" si="19"/>
        <v>0</v>
      </c>
      <c r="G582" s="13"/>
      <c r="H582" s="14" t="str">
        <f>HYPERLINK("https://pulti.ua/tv/pult-dlja-rekord-rc02-51")</f>
        <v>https://pulti.ua/tv/pult-dlja-rekord-rc02-51</v>
      </c>
    </row>
    <row r="583" spans="1:8" s="18" customFormat="1" ht="15" customHeight="1">
      <c r="A583" s="39">
        <v>2752</v>
      </c>
      <c r="B583" s="26" t="s">
        <v>551</v>
      </c>
      <c r="C583" s="13" t="s">
        <v>11</v>
      </c>
      <c r="D583" s="14"/>
      <c r="E583" s="9">
        <v>82.5</v>
      </c>
      <c r="F583" s="9">
        <f t="shared" si="19"/>
        <v>0</v>
      </c>
      <c r="G583" s="13"/>
      <c r="H583" s="14" t="str">
        <f>HYPERLINK("https://pulti.ua/tv/pult-dlja-rekord-rc-514")</f>
        <v>https://pulti.ua/tv/pult-dlja-rekord-rc-514</v>
      </c>
    </row>
    <row r="584" spans="1:8" s="18" customFormat="1" ht="15" customHeight="1">
      <c r="A584" s="39">
        <v>1673</v>
      </c>
      <c r="B584" s="26" t="s">
        <v>552</v>
      </c>
      <c r="C584" s="13" t="s">
        <v>11</v>
      </c>
      <c r="D584" s="14"/>
      <c r="E584" s="9">
        <v>105</v>
      </c>
      <c r="F584" s="9">
        <f t="shared" si="19"/>
        <v>0</v>
      </c>
      <c r="G584" s="13"/>
      <c r="H584" s="14" t="str">
        <f>HYPERLINK("https://pulti.ua/tv/pult-dlja-rolsen-a205-p")</f>
        <v>https://pulti.ua/tv/pult-dlja-rolsen-a205-p</v>
      </c>
    </row>
    <row r="585" spans="1:8" s="18" customFormat="1" ht="15" customHeight="1">
      <c r="A585" s="39">
        <v>3316</v>
      </c>
      <c r="B585" s="26" t="s">
        <v>553</v>
      </c>
      <c r="C585" s="13" t="s">
        <v>22</v>
      </c>
      <c r="D585" s="14"/>
      <c r="E585" s="9">
        <v>281.3</v>
      </c>
      <c r="F585" s="9">
        <f t="shared" si="19"/>
        <v>0</v>
      </c>
      <c r="G585" s="13"/>
      <c r="H585" s="14" t="str">
        <f>HYPERLINK("https://pulti.ua/tv/pult-dlja-rolsen-en-31603b")</f>
        <v>https://pulti.ua/tv/pult-dlja-rolsen-en-31603b</v>
      </c>
    </row>
    <row r="586" spans="1:8" s="18" customFormat="1" ht="15" customHeight="1">
      <c r="A586" s="39">
        <v>3317</v>
      </c>
      <c r="B586" s="26" t="s">
        <v>554</v>
      </c>
      <c r="C586" s="13" t="s">
        <v>22</v>
      </c>
      <c r="D586" s="14"/>
      <c r="E586" s="9">
        <v>281.3</v>
      </c>
      <c r="F586" s="9">
        <f t="shared" si="19"/>
        <v>0</v>
      </c>
      <c r="G586" s="13"/>
      <c r="H586" s="14" t="str">
        <f>HYPERLINK("https://pulti.ua/tv/pult-dlja-rolsen-er-31607r")</f>
        <v>https://pulti.ua/tv/pult-dlja-rolsen-er-31607r</v>
      </c>
    </row>
    <row r="587" spans="1:8" s="18" customFormat="1" ht="15" customHeight="1">
      <c r="A587" s="11">
        <v>1658</v>
      </c>
      <c r="B587" s="12" t="s">
        <v>555</v>
      </c>
      <c r="C587" s="13" t="s">
        <v>11</v>
      </c>
      <c r="D587" s="14"/>
      <c r="E587" s="9">
        <v>63.8</v>
      </c>
      <c r="F587" s="9">
        <f t="shared" si="19"/>
        <v>0</v>
      </c>
      <c r="G587" s="13"/>
      <c r="H587" s="14" t="str">
        <f>HYPERLINK("https://pulti.ua/tv/pult-dlja-rolsen-k10b-c1")</f>
        <v>https://pulti.ua/tv/pult-dlja-rolsen-k10b-c1</v>
      </c>
    </row>
    <row r="588" spans="1:8" s="18" customFormat="1" ht="15" customHeight="1">
      <c r="A588" s="11">
        <v>1657</v>
      </c>
      <c r="B588" s="12" t="s">
        <v>556</v>
      </c>
      <c r="C588" s="13" t="s">
        <v>11</v>
      </c>
      <c r="D588" s="14"/>
      <c r="E588" s="9">
        <v>63.8</v>
      </c>
      <c r="F588" s="9">
        <f t="shared" si="19"/>
        <v>0</v>
      </c>
      <c r="G588" s="13"/>
      <c r="H588" s="14" t="str">
        <f>HYPERLINK("https://pulti.ua/tv/pult-dlja-rolsen-k10j-c1")</f>
        <v>https://pulti.ua/tv/pult-dlja-rolsen-k10j-c1</v>
      </c>
    </row>
    <row r="589" spans="1:8" s="18" customFormat="1" ht="15" customHeight="1">
      <c r="A589" s="11">
        <v>1659</v>
      </c>
      <c r="B589" s="12" t="s">
        <v>557</v>
      </c>
      <c r="C589" s="13" t="s">
        <v>11</v>
      </c>
      <c r="D589" s="14"/>
      <c r="E589" s="9">
        <v>63.8</v>
      </c>
      <c r="F589" s="9">
        <f t="shared" si="19"/>
        <v>0</v>
      </c>
      <c r="G589" s="13"/>
      <c r="H589" s="14" t="str">
        <f>HYPERLINK("https://pulti.ua/tv/pult-dlja-rolsen-k10n-c1")</f>
        <v>https://pulti.ua/tv/pult-dlja-rolsen-k10n-c1</v>
      </c>
    </row>
    <row r="590" spans="1:8" s="18" customFormat="1" ht="15" customHeight="1">
      <c r="A590" s="39">
        <v>3425</v>
      </c>
      <c r="B590" s="26" t="s">
        <v>558</v>
      </c>
      <c r="C590" s="13" t="s">
        <v>11</v>
      </c>
      <c r="D590" s="14"/>
      <c r="E590" s="9">
        <v>54.4</v>
      </c>
      <c r="F590" s="9">
        <f t="shared" si="19"/>
        <v>0</v>
      </c>
      <c r="G590" s="13"/>
      <c r="H590" s="14" t="str">
        <f>HYPERLINK("https://pulti.ua/tv/pult-dlja-rolsen-k10n-c5-ic")</f>
        <v>https://pulti.ua/tv/pult-dlja-rolsen-k10n-c5-ic</v>
      </c>
    </row>
    <row r="591" spans="1:8" s="18" customFormat="1" ht="15" customHeight="1">
      <c r="A591" s="39">
        <v>1667</v>
      </c>
      <c r="B591" s="26" t="s">
        <v>559</v>
      </c>
      <c r="C591" s="13" t="s">
        <v>11</v>
      </c>
      <c r="D591" s="14"/>
      <c r="E591" s="9">
        <v>78.8</v>
      </c>
      <c r="F591" s="9">
        <f t="shared" si="19"/>
        <v>0</v>
      </c>
      <c r="G591" s="13"/>
      <c r="H591" s="14" t="str">
        <f>HYPERLINK("https://pulti.ua/tv/pult-dlja-rolsen-k12d-c16-ic")</f>
        <v>https://pulti.ua/tv/pult-dlja-rolsen-k12d-c16-ic</v>
      </c>
    </row>
    <row r="592" spans="1:8" s="18" customFormat="1" ht="15" customHeight="1">
      <c r="A592" s="11">
        <v>1664</v>
      </c>
      <c r="B592" s="12" t="s">
        <v>560</v>
      </c>
      <c r="C592" s="13" t="s">
        <v>11</v>
      </c>
      <c r="D592" s="14"/>
      <c r="E592" s="9">
        <v>63.8</v>
      </c>
      <c r="F592" s="9">
        <f t="shared" si="19"/>
        <v>0</v>
      </c>
      <c r="G592" s="13"/>
      <c r="H592" s="14" t="str">
        <f>HYPERLINK("https://pulti.ua/tv/pult-dlja-rolsen-kex1d-c22")</f>
        <v>https://pulti.ua/tv/pult-dlja-rolsen-kex1d-c22</v>
      </c>
    </row>
    <row r="593" spans="1:8" s="18" customFormat="1" ht="15" customHeight="1">
      <c r="A593" s="11">
        <v>1665</v>
      </c>
      <c r="B593" s="12" t="s">
        <v>1354</v>
      </c>
      <c r="C593" s="13" t="s">
        <v>11</v>
      </c>
      <c r="D593" s="14"/>
      <c r="E593" s="9">
        <v>41.3</v>
      </c>
      <c r="F593" s="9">
        <f t="shared" si="19"/>
        <v>0</v>
      </c>
      <c r="G593" s="13"/>
      <c r="H593" s="14" t="str">
        <f>HYPERLINK("https://pulti.ua/tv/pult-dlja-rolsen-kex1d-c23")</f>
        <v>https://pulti.ua/tv/pult-dlja-rolsen-kex1d-c23</v>
      </c>
    </row>
    <row r="594" spans="1:8" s="18" customFormat="1" ht="15" customHeight="1">
      <c r="A594" s="39">
        <v>1668</v>
      </c>
      <c r="B594" s="26" t="s">
        <v>1355</v>
      </c>
      <c r="C594" s="13" t="s">
        <v>11</v>
      </c>
      <c r="D594" s="14"/>
      <c r="E594" s="9">
        <v>71.3</v>
      </c>
      <c r="F594" s="9">
        <f t="shared" si="19"/>
        <v>0</v>
      </c>
      <c r="G594" s="13"/>
      <c r="H594" s="14" t="str">
        <f>HYPERLINK("https://pulti.ua/tv/pult-dlja-rolsen-kex1d-c47")</f>
        <v>https://pulti.ua/tv/pult-dlja-rolsen-kex1d-c47</v>
      </c>
    </row>
    <row r="595" spans="1:8" s="18" customFormat="1" ht="15" customHeight="1">
      <c r="A595" s="11">
        <v>1670</v>
      </c>
      <c r="B595" s="12" t="s">
        <v>561</v>
      </c>
      <c r="C595" s="13" t="s">
        <v>11</v>
      </c>
      <c r="D595" s="14"/>
      <c r="E595" s="9">
        <v>116.3</v>
      </c>
      <c r="F595" s="9">
        <f t="shared" si="19"/>
        <v>0</v>
      </c>
      <c r="G595" s="13"/>
      <c r="H595" s="14" t="str">
        <f>HYPERLINK("https://pulti.ua/tv/pult-dlja-rolsen-new-wh-55-a-3")</f>
        <v>https://pulti.ua/tv/pult-dlja-rolsen-new-wh-55-a-3</v>
      </c>
    </row>
    <row r="596" spans="1:8" s="18" customFormat="1" ht="15" customHeight="1">
      <c r="A596" s="39">
        <v>3645</v>
      </c>
      <c r="B596" s="26" t="s">
        <v>562</v>
      </c>
      <c r="C596" s="13" t="s">
        <v>22</v>
      </c>
      <c r="D596" s="14"/>
      <c r="E596" s="9">
        <v>247.5</v>
      </c>
      <c r="F596" s="9">
        <f t="shared" si="19"/>
        <v>0</v>
      </c>
      <c r="G596" s="13"/>
      <c r="H596" s="14" t="str">
        <f>HYPERLINK("https://pulti.ua/tv/pult-dlja-rolsen-rl-19e1301gu")</f>
        <v>https://pulti.ua/tv/pult-dlja-rolsen-rl-19e1301gu</v>
      </c>
    </row>
    <row r="597" spans="1:8" s="18" customFormat="1" ht="15" customHeight="1">
      <c r="A597" s="39">
        <v>3318</v>
      </c>
      <c r="B597" s="26" t="s">
        <v>563</v>
      </c>
      <c r="C597" s="13" t="s">
        <v>14</v>
      </c>
      <c r="D597" s="14"/>
      <c r="E597" s="9">
        <v>97.5</v>
      </c>
      <c r="F597" s="9">
        <f t="shared" si="19"/>
        <v>0</v>
      </c>
      <c r="G597" s="13"/>
      <c r="H597" s="14" t="str">
        <f>HYPERLINK("https://pulti.ua/tv/pult-dlja-rolsen-rl-32l700u--3d")</f>
        <v>https://pulti.ua/tv/pult-dlja-rolsen-rl-32l700u--3d</v>
      </c>
    </row>
    <row r="598" spans="1:8" s="18" customFormat="1" ht="15" customHeight="1">
      <c r="A598" s="11">
        <v>1669</v>
      </c>
      <c r="B598" s="12" t="s">
        <v>564</v>
      </c>
      <c r="C598" s="13" t="s">
        <v>11</v>
      </c>
      <c r="D598" s="14"/>
      <c r="E598" s="9">
        <v>56.3</v>
      </c>
      <c r="F598" s="9">
        <f t="shared" si="19"/>
        <v>0</v>
      </c>
      <c r="G598" s="13"/>
      <c r="H598" s="14" t="str">
        <f>HYPERLINK("https://pulti.ua/tv/pult-dlja-rolsen-wh-55")</f>
        <v>https://pulti.ua/tv/pult-dlja-rolsen-wh-55</v>
      </c>
    </row>
    <row r="599" spans="1:8" s="18" customFormat="1" ht="15" customHeight="1">
      <c r="A599" s="39">
        <v>4441</v>
      </c>
      <c r="B599" s="26" t="s">
        <v>565</v>
      </c>
      <c r="C599" s="13" t="s">
        <v>14</v>
      </c>
      <c r="D599" s="14"/>
      <c r="E599" s="9">
        <v>75</v>
      </c>
      <c r="F599" s="9">
        <f t="shared" si="19"/>
        <v>0</v>
      </c>
      <c r="G599" s="13"/>
      <c r="H599" s="14" t="str">
        <f>HYPERLINK("https://pulti.ua/tv/pult-dlya-romsat-22hmc1720")</f>
        <v>https://pulti.ua/tv/pult-dlya-romsat-22hmc1720</v>
      </c>
    </row>
    <row r="600" spans="1:8" s="18" customFormat="1" ht="15" customHeight="1">
      <c r="A600" s="39">
        <v>4030</v>
      </c>
      <c r="B600" s="26" t="s">
        <v>566</v>
      </c>
      <c r="C600" s="13" t="s">
        <v>14</v>
      </c>
      <c r="D600" s="14"/>
      <c r="E600" s="9">
        <v>86.3</v>
      </c>
      <c r="F600" s="9">
        <f t="shared" si="19"/>
        <v>0</v>
      </c>
      <c r="G600" s="13"/>
      <c r="H600" s="14" t="str">
        <f>HYPERLINK("https://pulti.ua/tv/pult-dlja-romsat-24h0052")</f>
        <v>https://pulti.ua/tv/pult-dlja-romsat-24h0052</v>
      </c>
    </row>
    <row r="601" spans="1:8" s="18" customFormat="1" ht="15" customHeight="1">
      <c r="A601" s="39">
        <v>4442</v>
      </c>
      <c r="B601" s="26" t="s">
        <v>567</v>
      </c>
      <c r="C601" s="13" t="s">
        <v>14</v>
      </c>
      <c r="D601" s="14"/>
      <c r="E601" s="9">
        <v>75</v>
      </c>
      <c r="F601" s="9">
        <f t="shared" si="19"/>
        <v>0</v>
      </c>
      <c r="G601" s="13"/>
      <c r="H601" s="14" t="str">
        <f>HYPERLINK("https://pulti.ua/tv/pult-dlya-romsat-32hk1810t2")</f>
        <v>https://pulti.ua/tv/pult-dlya-romsat-32hk1810t2</v>
      </c>
    </row>
    <row r="602" spans="1:8" s="18" customFormat="1" ht="15" customHeight="1">
      <c r="A602" s="11">
        <v>4572</v>
      </c>
      <c r="B602" s="12" t="s">
        <v>568</v>
      </c>
      <c r="C602" s="13" t="s">
        <v>14</v>
      </c>
      <c r="D602" s="14"/>
      <c r="E602" s="9">
        <v>66.8</v>
      </c>
      <c r="F602" s="9">
        <f t="shared" si="19"/>
        <v>0</v>
      </c>
      <c r="G602" s="13"/>
      <c r="H602" s="14" t="str">
        <f>HYPERLINK("https://pulti.ua/tv/pult-dlya-romsat-32hx1850t2")</f>
        <v>https://pulti.ua/tv/pult-dlya-romsat-32hx1850t2</v>
      </c>
    </row>
    <row r="603" spans="1:8" s="18" customFormat="1" ht="15" customHeight="1">
      <c r="A603" s="11">
        <v>4571</v>
      </c>
      <c r="B603" s="12" t="s">
        <v>1356</v>
      </c>
      <c r="C603" s="13" t="s">
        <v>14</v>
      </c>
      <c r="D603" s="15" t="s">
        <v>1314</v>
      </c>
      <c r="E603" s="9">
        <v>69.4</v>
      </c>
      <c r="F603" s="9"/>
      <c r="G603" s="13"/>
      <c r="H603" s="14" t="str">
        <f>HYPERLINK("https://pulti.ua/tv/pult-dlya-romsat-55umt16512t2")</f>
        <v>https://pulti.ua/tv/pult-dlya-romsat-55umt16512t2</v>
      </c>
    </row>
    <row r="604" spans="1:8" s="18" customFormat="1" ht="15" customHeight="1">
      <c r="A604" s="39">
        <v>2608</v>
      </c>
      <c r="B604" s="26" t="s">
        <v>569</v>
      </c>
      <c r="C604" s="13" t="s">
        <v>11</v>
      </c>
      <c r="D604" s="14"/>
      <c r="E604" s="9">
        <v>123.8</v>
      </c>
      <c r="F604" s="9">
        <f aca="true" t="shared" si="20" ref="F604:F631">D604*E604</f>
        <v>0</v>
      </c>
      <c r="G604" s="13"/>
      <c r="H604" s="14" t="str">
        <f>HYPERLINK("https://pulti.ua/tv/pult-dlja-rubin-rubin-37m10-6")</f>
        <v>https://pulti.ua/tv/pult-dlja-rubin-rubin-37m10-6</v>
      </c>
    </row>
    <row r="605" spans="1:8" s="18" customFormat="1" ht="15" customHeight="1">
      <c r="A605" s="11">
        <v>2605</v>
      </c>
      <c r="B605" s="12" t="s">
        <v>570</v>
      </c>
      <c r="C605" s="13" t="s">
        <v>11</v>
      </c>
      <c r="D605" s="14"/>
      <c r="E605" s="9">
        <v>30</v>
      </c>
      <c r="F605" s="9">
        <f t="shared" si="20"/>
        <v>0</v>
      </c>
      <c r="G605" s="13"/>
      <c r="H605" s="14" t="str">
        <f>HYPERLINK("https://pulti.ua/tv/pult-dlja-rubin-rubin-rc-500")</f>
        <v>https://pulti.ua/tv/pult-dlja-rubin-rubin-rc-500</v>
      </c>
    </row>
    <row r="606" spans="1:8" s="18" customFormat="1" ht="15" customHeight="1">
      <c r="A606" s="11">
        <v>2604</v>
      </c>
      <c r="B606" s="12" t="s">
        <v>571</v>
      </c>
      <c r="C606" s="13" t="s">
        <v>11</v>
      </c>
      <c r="D606" s="14"/>
      <c r="E606" s="9">
        <v>30</v>
      </c>
      <c r="F606" s="9">
        <f t="shared" si="20"/>
        <v>0</v>
      </c>
      <c r="G606" s="13"/>
      <c r="H606" s="14" t="str">
        <f>HYPERLINK("https://pulti.ua/tv/pult-dlja-rubin-rubin-rc-500-text")</f>
        <v>https://pulti.ua/tv/pult-dlja-rubin-rubin-rc-500-text</v>
      </c>
    </row>
    <row r="607" spans="1:8" s="18" customFormat="1" ht="15" customHeight="1">
      <c r="A607" s="11">
        <v>2607</v>
      </c>
      <c r="B607" s="12" t="s">
        <v>1357</v>
      </c>
      <c r="C607" s="13" t="s">
        <v>11</v>
      </c>
      <c r="D607" s="14"/>
      <c r="E607" s="9">
        <v>56.3</v>
      </c>
      <c r="F607" s="9">
        <f t="shared" si="20"/>
        <v>0</v>
      </c>
      <c r="G607" s="13"/>
      <c r="H607" s="14" t="str">
        <f>HYPERLINK("https://pulti.ua/tv/pult-dlja-rubin-rubin-rc-7-belii")</f>
        <v>https://pulti.ua/tv/pult-dlja-rubin-rubin-rc-7-belii</v>
      </c>
    </row>
    <row r="608" spans="1:8" s="18" customFormat="1" ht="15" customHeight="1">
      <c r="A608" s="39">
        <v>3133</v>
      </c>
      <c r="B608" s="26" t="s">
        <v>572</v>
      </c>
      <c r="C608" s="13" t="s">
        <v>11</v>
      </c>
      <c r="D608" s="14"/>
      <c r="E608" s="9">
        <v>127.5</v>
      </c>
      <c r="F608" s="9">
        <f t="shared" si="20"/>
        <v>0</v>
      </c>
      <c r="G608" s="13"/>
      <c r="H608" s="14" t="str">
        <f>HYPERLINK("https://pulti.ua/tv/pult-dlja-rubin-wh-43d102")</f>
        <v>https://pulti.ua/tv/pult-dlja-rubin-wh-43d102</v>
      </c>
    </row>
    <row r="609" spans="1:8" s="18" customFormat="1" ht="15" customHeight="1">
      <c r="A609" s="11">
        <v>1676</v>
      </c>
      <c r="B609" s="12" t="s">
        <v>573</v>
      </c>
      <c r="C609" s="13" t="s">
        <v>11</v>
      </c>
      <c r="D609" s="14"/>
      <c r="E609" s="9">
        <v>63.8</v>
      </c>
      <c r="F609" s="9">
        <f t="shared" si="20"/>
        <v>0</v>
      </c>
      <c r="G609" s="13"/>
      <c r="H609" s="14" t="str">
        <f>HYPERLINK("https://pulti.ua/tv/pult-dlja-samsung-3f14-00034-162")</f>
        <v>https://pulti.ua/tv/pult-dlja-samsung-3f14-00034-162</v>
      </c>
    </row>
    <row r="610" spans="1:8" s="18" customFormat="1" ht="15" customHeight="1">
      <c r="A610" s="39">
        <v>3243</v>
      </c>
      <c r="B610" s="26" t="s">
        <v>574</v>
      </c>
      <c r="C610" s="13" t="s">
        <v>11</v>
      </c>
      <c r="D610" s="14"/>
      <c r="E610" s="9">
        <v>67.5</v>
      </c>
      <c r="F610" s="9">
        <f t="shared" si="20"/>
        <v>0</v>
      </c>
      <c r="G610" s="13"/>
      <c r="H610" s="14" t="str">
        <f>HYPERLINK("https://pulti.ua/tv/pult-dlja-samsung-3f14-00034-162-ic")</f>
        <v>https://pulti.ua/tv/pult-dlja-samsung-3f14-00034-162-ic</v>
      </c>
    </row>
    <row r="611" spans="1:8" s="18" customFormat="1" ht="15" customHeight="1">
      <c r="A611" s="11">
        <v>1679</v>
      </c>
      <c r="B611" s="12" t="s">
        <v>575</v>
      </c>
      <c r="C611" s="13" t="s">
        <v>11</v>
      </c>
      <c r="D611" s="14"/>
      <c r="E611" s="9">
        <v>101.3</v>
      </c>
      <c r="F611" s="9">
        <f t="shared" si="20"/>
        <v>0</v>
      </c>
      <c r="G611" s="13"/>
      <c r="H611" s="14" t="str">
        <f>HYPERLINK("https://pulti.ua/tv/pult-dlja-samsung-3f14-00034-490")</f>
        <v>https://pulti.ua/tv/pult-dlja-samsung-3f14-00034-490</v>
      </c>
    </row>
    <row r="612" spans="1:8" s="18" customFormat="1" ht="15" customHeight="1">
      <c r="A612" s="11">
        <v>1687</v>
      </c>
      <c r="B612" s="12" t="s">
        <v>576</v>
      </c>
      <c r="C612" s="13" t="s">
        <v>11</v>
      </c>
      <c r="D612" s="14"/>
      <c r="E612" s="9">
        <v>101.3</v>
      </c>
      <c r="F612" s="9">
        <f t="shared" si="20"/>
        <v>0</v>
      </c>
      <c r="G612" s="13"/>
      <c r="H612" s="14" t="str">
        <f>HYPERLINK("https://pulti.ua/tv/pult-dlja-samsung-3f14-00034-a10")</f>
        <v>https://pulti.ua/tv/pult-dlja-samsung-3f14-00034-a10</v>
      </c>
    </row>
    <row r="613" spans="1:8" s="18" customFormat="1" ht="15" customHeight="1">
      <c r="A613" s="11">
        <v>1690</v>
      </c>
      <c r="B613" s="12" t="s">
        <v>577</v>
      </c>
      <c r="C613" s="13" t="s">
        <v>11</v>
      </c>
      <c r="D613" s="14"/>
      <c r="E613" s="9">
        <v>75</v>
      </c>
      <c r="F613" s="9">
        <f t="shared" si="20"/>
        <v>0</v>
      </c>
      <c r="G613" s="13"/>
      <c r="H613" s="14" t="str">
        <f>HYPERLINK("https://pulti.ua/tv/pult-dlja-samsung-3f14-00038-242")</f>
        <v>https://pulti.ua/tv/pult-dlja-samsung-3f14-00038-242</v>
      </c>
    </row>
    <row r="614" spans="1:8" s="18" customFormat="1" ht="15" customHeight="1">
      <c r="A614" s="11">
        <v>1691</v>
      </c>
      <c r="B614" s="12" t="s">
        <v>578</v>
      </c>
      <c r="C614" s="13" t="s">
        <v>11</v>
      </c>
      <c r="D614" s="14"/>
      <c r="E614" s="9">
        <v>101.3</v>
      </c>
      <c r="F614" s="9">
        <f t="shared" si="20"/>
        <v>0</v>
      </c>
      <c r="G614" s="13"/>
      <c r="H614" s="14" t="str">
        <f>HYPERLINK("https://pulti.ua/tv/pult-dlja-samsung-3f14-00038-300")</f>
        <v>https://pulti.ua/tv/pult-dlja-samsung-3f14-00038-300</v>
      </c>
    </row>
    <row r="615" spans="1:8" s="18" customFormat="1" ht="15" customHeight="1">
      <c r="A615" s="11">
        <v>1693</v>
      </c>
      <c r="B615" s="12" t="s">
        <v>579</v>
      </c>
      <c r="C615" s="13" t="s">
        <v>11</v>
      </c>
      <c r="D615" s="14"/>
      <c r="E615" s="9">
        <v>56.3</v>
      </c>
      <c r="F615" s="9">
        <f t="shared" si="20"/>
        <v>0</v>
      </c>
      <c r="G615" s="13"/>
      <c r="H615" s="14" t="str">
        <f>HYPERLINK("https://pulti.ua/tv/pult-dlja-samsung-3f14-00038-321")</f>
        <v>https://pulti.ua/tv/pult-dlja-samsung-3f14-00038-321</v>
      </c>
    </row>
    <row r="616" spans="1:8" s="18" customFormat="1" ht="15" customHeight="1">
      <c r="A616" s="11">
        <v>1695</v>
      </c>
      <c r="B616" s="12" t="s">
        <v>580</v>
      </c>
      <c r="C616" s="13" t="s">
        <v>11</v>
      </c>
      <c r="D616" s="14"/>
      <c r="E616" s="9">
        <v>63.8</v>
      </c>
      <c r="F616" s="9">
        <f t="shared" si="20"/>
        <v>0</v>
      </c>
      <c r="G616" s="13"/>
      <c r="H616" s="14" t="str">
        <f>HYPERLINK("https://pulti.ua/tv/pult-dlja-samsung-3f14-00038-450")</f>
        <v>https://pulti.ua/tv/pult-dlja-samsung-3f14-00038-450</v>
      </c>
    </row>
    <row r="617" spans="1:8" s="18" customFormat="1" ht="15" customHeight="1">
      <c r="A617" s="39">
        <v>1697</v>
      </c>
      <c r="B617" s="26" t="s">
        <v>581</v>
      </c>
      <c r="C617" s="13" t="s">
        <v>11</v>
      </c>
      <c r="D617" s="14"/>
      <c r="E617" s="9">
        <v>198.8</v>
      </c>
      <c r="F617" s="9">
        <f t="shared" si="20"/>
        <v>0</v>
      </c>
      <c r="G617" s="13"/>
      <c r="H617" s="14" t="str">
        <f>HYPERLINK("https://pulti.ua/tv/pult-dlja-samsung--3f14-00040-060")</f>
        <v>https://pulti.ua/tv/pult-dlja-samsung--3f14-00040-060</v>
      </c>
    </row>
    <row r="618" spans="1:8" s="18" customFormat="1" ht="15" customHeight="1">
      <c r="A618" s="11">
        <v>1702</v>
      </c>
      <c r="B618" s="12" t="s">
        <v>582</v>
      </c>
      <c r="C618" s="13" t="s">
        <v>11</v>
      </c>
      <c r="D618" s="14"/>
      <c r="E618" s="9">
        <v>56.3</v>
      </c>
      <c r="F618" s="9">
        <f t="shared" si="20"/>
        <v>0</v>
      </c>
      <c r="G618" s="13"/>
      <c r="H618" s="14" t="str">
        <f>HYPERLINK("https://pulti.ua/tv/pult-dlja-samsung-aa59-00104d")</f>
        <v>https://pulti.ua/tv/pult-dlja-samsung-aa59-00104d</v>
      </c>
    </row>
    <row r="619" spans="1:8" s="18" customFormat="1" ht="15" customHeight="1">
      <c r="A619" s="39">
        <v>3417</v>
      </c>
      <c r="B619" s="26" t="s">
        <v>583</v>
      </c>
      <c r="C619" s="13" t="s">
        <v>11</v>
      </c>
      <c r="D619" s="14"/>
      <c r="E619" s="9">
        <v>60</v>
      </c>
      <c r="F619" s="9">
        <f t="shared" si="20"/>
        <v>0</v>
      </c>
      <c r="G619" s="13"/>
      <c r="H619" s="14" t="str">
        <f>HYPERLINK("https://pulti.ua/tv/pult-dlja-samsung-aa59-00104d-ic")</f>
        <v>https://pulti.ua/tv/pult-dlja-samsung-aa59-00104d-ic</v>
      </c>
    </row>
    <row r="620" spans="1:8" s="18" customFormat="1" ht="15" customHeight="1">
      <c r="A620" s="39">
        <v>1055</v>
      </c>
      <c r="B620" s="26" t="s">
        <v>584</v>
      </c>
      <c r="C620" s="13" t="s">
        <v>11</v>
      </c>
      <c r="D620" s="14"/>
      <c r="E620" s="9">
        <v>56.3</v>
      </c>
      <c r="F620" s="9">
        <f t="shared" si="20"/>
        <v>0</v>
      </c>
      <c r="G620" s="13"/>
      <c r="H620" s="14" t="str">
        <f>HYPERLINK("https://pulti.ua/tv/pult-dlja-samsung-aa59-00104n-ic")</f>
        <v>https://pulti.ua/tv/pult-dlja-samsung-aa59-00104n-ic</v>
      </c>
    </row>
    <row r="621" spans="1:8" s="18" customFormat="1" ht="15" customHeight="1">
      <c r="A621" s="11">
        <v>1705</v>
      </c>
      <c r="B621" s="12" t="s">
        <v>585</v>
      </c>
      <c r="C621" s="13" t="s">
        <v>11</v>
      </c>
      <c r="D621" s="14"/>
      <c r="E621" s="9">
        <v>54.4</v>
      </c>
      <c r="F621" s="9">
        <f t="shared" si="20"/>
        <v>0</v>
      </c>
      <c r="G621" s="13"/>
      <c r="H621" s="14" t="str">
        <f>HYPERLINK("https://pulti.ua/tv/pult-dlja-samsung-aa59-00104n")</f>
        <v>https://pulti.ua/tv/pult-dlja-samsung-aa59-00104n</v>
      </c>
    </row>
    <row r="622" spans="1:8" s="18" customFormat="1" ht="15" customHeight="1">
      <c r="A622" s="11">
        <v>1708</v>
      </c>
      <c r="B622" s="12" t="s">
        <v>586</v>
      </c>
      <c r="C622" s="13" t="s">
        <v>11</v>
      </c>
      <c r="D622" s="14"/>
      <c r="E622" s="9">
        <v>56.3</v>
      </c>
      <c r="F622" s="9">
        <f t="shared" si="20"/>
        <v>0</v>
      </c>
      <c r="G622" s="13"/>
      <c r="H622" s="14" t="str">
        <f>HYPERLINK("https://pulti.ua/tv/pult-dlja-samsung-aa59-00198a")</f>
        <v>https://pulti.ua/tv/pult-dlja-samsung-aa59-00198a</v>
      </c>
    </row>
    <row r="623" spans="1:8" s="18" customFormat="1" ht="15" customHeight="1">
      <c r="A623" s="11">
        <v>1709</v>
      </c>
      <c r="B623" s="12" t="s">
        <v>587</v>
      </c>
      <c r="C623" s="13" t="s">
        <v>11</v>
      </c>
      <c r="D623" s="14"/>
      <c r="E623" s="9">
        <v>56.3</v>
      </c>
      <c r="F623" s="9">
        <f t="shared" si="20"/>
        <v>0</v>
      </c>
      <c r="G623" s="13"/>
      <c r="H623" s="14" t="str">
        <f>HYPERLINK("https://pulti.ua/tv/pult-dlja-samsung-aa59-00198v")</f>
        <v>https://pulti.ua/tv/pult-dlja-samsung-aa59-00198v</v>
      </c>
    </row>
    <row r="624" spans="1:8" s="18" customFormat="1" ht="15" customHeight="1">
      <c r="A624" s="11">
        <v>1710</v>
      </c>
      <c r="B624" s="12" t="s">
        <v>588</v>
      </c>
      <c r="C624" s="13" t="s">
        <v>11</v>
      </c>
      <c r="D624" s="14"/>
      <c r="E624" s="9">
        <v>51.4</v>
      </c>
      <c r="F624" s="9">
        <f t="shared" si="20"/>
        <v>0</v>
      </c>
      <c r="G624" s="13"/>
      <c r="H624" s="14" t="str">
        <f>HYPERLINK("https://pulti.ua/tv/pult-dlja-samsung-aa59-00198d")</f>
        <v>https://pulti.ua/tv/pult-dlja-samsung-aa59-00198d</v>
      </c>
    </row>
    <row r="625" spans="1:8" s="18" customFormat="1" ht="15" customHeight="1">
      <c r="A625" s="39">
        <v>1072</v>
      </c>
      <c r="B625" s="26" t="s">
        <v>589</v>
      </c>
      <c r="C625" s="13" t="s">
        <v>11</v>
      </c>
      <c r="D625" s="14"/>
      <c r="E625" s="9">
        <v>64.9</v>
      </c>
      <c r="F625" s="9">
        <f t="shared" si="20"/>
        <v>0</v>
      </c>
      <c r="G625" s="13"/>
      <c r="H625" s="14" t="str">
        <f>HYPERLINK("https://pulti.ua/tv/pult-dlja-samsung-aa59-00198d-ic")</f>
        <v>https://pulti.ua/tv/pult-dlja-samsung-aa59-00198d-ic</v>
      </c>
    </row>
    <row r="626" spans="1:8" s="18" customFormat="1" ht="15" customHeight="1">
      <c r="A626" s="11">
        <v>1712</v>
      </c>
      <c r="B626" s="12" t="s">
        <v>590</v>
      </c>
      <c r="C626" s="13" t="s">
        <v>11</v>
      </c>
      <c r="D626" s="14"/>
      <c r="E626" s="9">
        <v>54.4</v>
      </c>
      <c r="F626" s="9">
        <f t="shared" si="20"/>
        <v>0</v>
      </c>
      <c r="G626" s="13"/>
      <c r="H626" s="14" t="str">
        <f>HYPERLINK("https://pulti.ua/tv/pult-dlja-samsung-aa59-00198f")</f>
        <v>https://pulti.ua/tv/pult-dlja-samsung-aa59-00198f</v>
      </c>
    </row>
    <row r="627" spans="1:8" s="18" customFormat="1" ht="15" customHeight="1">
      <c r="A627" s="39">
        <v>1080</v>
      </c>
      <c r="B627" s="26" t="s">
        <v>591</v>
      </c>
      <c r="C627" s="13" t="s">
        <v>11</v>
      </c>
      <c r="D627" s="14"/>
      <c r="E627" s="9">
        <v>57</v>
      </c>
      <c r="F627" s="9">
        <f t="shared" si="20"/>
        <v>0</v>
      </c>
      <c r="G627" s="13"/>
      <c r="H627" s="14" t="str">
        <f>HYPERLINK("https://pulti.ua/tv/pult-dlja-samsung-aa59-00198f-ic")</f>
        <v>https://pulti.ua/tv/pult-dlja-samsung-aa59-00198f-ic</v>
      </c>
    </row>
    <row r="628" spans="1:8" s="18" customFormat="1" ht="15" customHeight="1">
      <c r="A628" s="39">
        <v>1086</v>
      </c>
      <c r="B628" s="26" t="s">
        <v>592</v>
      </c>
      <c r="C628" s="13" t="s">
        <v>11</v>
      </c>
      <c r="D628" s="14"/>
      <c r="E628" s="9">
        <v>58.1</v>
      </c>
      <c r="F628" s="9">
        <f t="shared" si="20"/>
        <v>0</v>
      </c>
      <c r="G628" s="13"/>
      <c r="H628" s="14" t="str">
        <f>HYPERLINK("https://pulti.ua/tv/pult-dlja-samsung-aa59-00198g-ic")</f>
        <v>https://pulti.ua/tv/pult-dlja-samsung-aa59-00198g-ic</v>
      </c>
    </row>
    <row r="629" spans="1:8" s="18" customFormat="1" ht="15" customHeight="1">
      <c r="A629" s="11">
        <v>1714</v>
      </c>
      <c r="B629" s="12" t="s">
        <v>593</v>
      </c>
      <c r="C629" s="13" t="s">
        <v>11</v>
      </c>
      <c r="D629" s="14"/>
      <c r="E629" s="9">
        <v>51.8</v>
      </c>
      <c r="F629" s="9">
        <f t="shared" si="20"/>
        <v>0</v>
      </c>
      <c r="G629" s="13"/>
      <c r="H629" s="14" t="str">
        <f>HYPERLINK("https://pulti.ua/tv/pult-dlja-samsung-aa59-00198g")</f>
        <v>https://pulti.ua/tv/pult-dlja-samsung-aa59-00198g</v>
      </c>
    </row>
    <row r="630" spans="1:8" s="18" customFormat="1" ht="15" customHeight="1">
      <c r="A630" s="11">
        <v>1716</v>
      </c>
      <c r="B630" s="12" t="s">
        <v>594</v>
      </c>
      <c r="C630" s="13" t="s">
        <v>11</v>
      </c>
      <c r="D630" s="14"/>
      <c r="E630" s="9">
        <v>54.4</v>
      </c>
      <c r="F630" s="9">
        <f t="shared" si="20"/>
        <v>0</v>
      </c>
      <c r="G630" s="13"/>
      <c r="H630" s="14" t="str">
        <f>HYPERLINK("https://pulti.ua/tv/pult-dlja-samsung-aa59-00198h")</f>
        <v>https://pulti.ua/tv/pult-dlja-samsung-aa59-00198h</v>
      </c>
    </row>
    <row r="631" spans="1:8" s="18" customFormat="1" ht="15" customHeight="1">
      <c r="A631" s="11">
        <v>1720</v>
      </c>
      <c r="B631" s="12" t="s">
        <v>595</v>
      </c>
      <c r="C631" s="13" t="s">
        <v>11</v>
      </c>
      <c r="D631" s="14"/>
      <c r="E631" s="9">
        <v>52.5</v>
      </c>
      <c r="F631" s="9">
        <f t="shared" si="20"/>
        <v>0</v>
      </c>
      <c r="G631" s="13"/>
      <c r="H631" s="14" t="str">
        <f>HYPERLINK("https://pulti.ua/tv/pult-dlja-samsung-aa59-00332a")</f>
        <v>https://pulti.ua/tv/pult-dlja-samsung-aa59-00332a</v>
      </c>
    </row>
    <row r="632" spans="1:8" s="18" customFormat="1" ht="15" customHeight="1">
      <c r="A632" s="39">
        <v>1100</v>
      </c>
      <c r="B632" s="26" t="s">
        <v>596</v>
      </c>
      <c r="C632" s="13" t="s">
        <v>11</v>
      </c>
      <c r="D632" s="15" t="s">
        <v>1314</v>
      </c>
      <c r="E632" s="9">
        <v>59.3</v>
      </c>
      <c r="F632" s="9"/>
      <c r="G632" s="13"/>
      <c r="H632" s="14" t="str">
        <f>HYPERLINK("https://pulti.ua/tv/pult-dlja-samsung-aa59-00332a-ic")</f>
        <v>https://pulti.ua/tv/pult-dlja-samsung-aa59-00332a-ic</v>
      </c>
    </row>
    <row r="633" spans="1:8" s="18" customFormat="1" ht="15" customHeight="1">
      <c r="A633" s="11">
        <v>1723</v>
      </c>
      <c r="B633" s="12" t="s">
        <v>597</v>
      </c>
      <c r="C633" s="13" t="s">
        <v>11</v>
      </c>
      <c r="D633" s="14"/>
      <c r="E633" s="9">
        <v>53.3</v>
      </c>
      <c r="F633" s="9">
        <f aca="true" t="shared" si="21" ref="F633:F642">D633*E633</f>
        <v>0</v>
      </c>
      <c r="G633" s="13"/>
      <c r="H633" s="14" t="str">
        <f>HYPERLINK("https://pulti.ua/tv/pult-dlja-samsung-aa59-00332d")</f>
        <v>https://pulti.ua/tv/pult-dlja-samsung-aa59-00332d</v>
      </c>
    </row>
    <row r="634" spans="1:8" s="18" customFormat="1" ht="15" customHeight="1">
      <c r="A634" s="39">
        <v>3429</v>
      </c>
      <c r="B634" s="26" t="s">
        <v>598</v>
      </c>
      <c r="C634" s="13" t="s">
        <v>11</v>
      </c>
      <c r="D634" s="14"/>
      <c r="E634" s="9">
        <v>58.1</v>
      </c>
      <c r="F634" s="9">
        <f t="shared" si="21"/>
        <v>0</v>
      </c>
      <c r="G634" s="13"/>
      <c r="H634" s="14" t="str">
        <f>HYPERLINK("https://pulti.ua/tv/pult-dlja-samsung-aa59-00332d-ic")</f>
        <v>https://pulti.ua/tv/pult-dlja-samsung-aa59-00332d-ic</v>
      </c>
    </row>
    <row r="635" spans="1:8" s="18" customFormat="1" ht="15" customHeight="1">
      <c r="A635" s="11">
        <v>1727</v>
      </c>
      <c r="B635" s="12" t="s">
        <v>599</v>
      </c>
      <c r="C635" s="13" t="s">
        <v>11</v>
      </c>
      <c r="D635" s="14"/>
      <c r="E635" s="9">
        <v>67.5</v>
      </c>
      <c r="F635" s="9">
        <f t="shared" si="21"/>
        <v>0</v>
      </c>
      <c r="G635" s="13"/>
      <c r="H635" s="14" t="str">
        <f>HYPERLINK("https://pulti.ua/tv/pult-dlja-samsung-aa59-00357b")</f>
        <v>https://pulti.ua/tv/pult-dlja-samsung-aa59-00357b</v>
      </c>
    </row>
    <row r="636" spans="1:8" s="18" customFormat="1" ht="15" customHeight="1">
      <c r="A636" s="11">
        <v>1724</v>
      </c>
      <c r="B636" s="12" t="s">
        <v>600</v>
      </c>
      <c r="C636" s="13" t="s">
        <v>22</v>
      </c>
      <c r="D636" s="14"/>
      <c r="E636" s="9">
        <v>61.9</v>
      </c>
      <c r="F636" s="9">
        <f t="shared" si="21"/>
        <v>0</v>
      </c>
      <c r="G636" s="13"/>
      <c r="H636" s="14" t="str">
        <f>HYPERLINK("https://pulti.ua/tv/pult-dlja-samsung--aa59-00370a")</f>
        <v>https://pulti.ua/tv/pult-dlja-samsung--aa59-00370a</v>
      </c>
    </row>
    <row r="637" spans="1:8" s="18" customFormat="1" ht="15" customHeight="1">
      <c r="A637" s="39">
        <v>1120</v>
      </c>
      <c r="B637" s="26" t="s">
        <v>601</v>
      </c>
      <c r="C637" s="13" t="s">
        <v>22</v>
      </c>
      <c r="D637" s="14"/>
      <c r="E637" s="9">
        <v>61.9</v>
      </c>
      <c r="F637" s="9">
        <f t="shared" si="21"/>
        <v>0</v>
      </c>
      <c r="G637" s="13"/>
      <c r="H637" s="14" t="str">
        <f>HYPERLINK("https://pulti.ua/tv/pult-dlja-samsung--aa59-00370a-ic")</f>
        <v>https://pulti.ua/tv/pult-dlja-samsung--aa59-00370a-ic</v>
      </c>
    </row>
    <row r="638" spans="1:8" s="18" customFormat="1" ht="15" customHeight="1">
      <c r="A638" s="11">
        <v>1726</v>
      </c>
      <c r="B638" s="12" t="s">
        <v>602</v>
      </c>
      <c r="C638" s="13" t="s">
        <v>22</v>
      </c>
      <c r="D638" s="14"/>
      <c r="E638" s="9">
        <v>63.8</v>
      </c>
      <c r="F638" s="9">
        <f t="shared" si="21"/>
        <v>0</v>
      </c>
      <c r="G638" s="13"/>
      <c r="H638" s="14" t="str">
        <f>HYPERLINK("https://pulti.ua/tv/pult-dlja-samsung--aa59-00370b")</f>
        <v>https://pulti.ua/tv/pult-dlja-samsung--aa59-00370b</v>
      </c>
    </row>
    <row r="639" spans="1:8" s="18" customFormat="1" ht="15" customHeight="1">
      <c r="A639" s="39">
        <v>3529</v>
      </c>
      <c r="B639" s="26" t="s">
        <v>603</v>
      </c>
      <c r="C639" s="13" t="s">
        <v>22</v>
      </c>
      <c r="D639" s="14"/>
      <c r="E639" s="9">
        <v>67.5</v>
      </c>
      <c r="F639" s="9">
        <f t="shared" si="21"/>
        <v>0</v>
      </c>
      <c r="G639" s="13"/>
      <c r="H639" s="14" t="str">
        <f>HYPERLINK("https://pulti.ua/tv/pult-dlja-samsung--aa59-00370b-ic")</f>
        <v>https://pulti.ua/tv/pult-dlja-samsung--aa59-00370b-ic</v>
      </c>
    </row>
    <row r="640" spans="1:8" s="18" customFormat="1" ht="15" customHeight="1">
      <c r="A640" s="39">
        <v>1751</v>
      </c>
      <c r="B640" s="26" t="s">
        <v>1358</v>
      </c>
      <c r="C640" s="13" t="s">
        <v>22</v>
      </c>
      <c r="D640" s="14"/>
      <c r="E640" s="9">
        <v>69.4</v>
      </c>
      <c r="F640" s="9">
        <f t="shared" si="21"/>
        <v>0</v>
      </c>
      <c r="G640" s="13"/>
      <c r="H640" s="14" t="str">
        <f>HYPERLINK("https://pulti.ua/tv/pult-dlja-samsung-aa59-00382a-ic")</f>
        <v>https://pulti.ua/tv/pult-dlja-samsung-aa59-00382a-ic</v>
      </c>
    </row>
    <row r="641" spans="1:8" s="18" customFormat="1" ht="15" customHeight="1">
      <c r="A641" s="11">
        <v>1750</v>
      </c>
      <c r="B641" s="12" t="s">
        <v>604</v>
      </c>
      <c r="C641" s="13" t="s">
        <v>22</v>
      </c>
      <c r="D641" s="14"/>
      <c r="E641" s="9">
        <v>56.3</v>
      </c>
      <c r="F641" s="9">
        <f t="shared" si="21"/>
        <v>0</v>
      </c>
      <c r="G641" s="13"/>
      <c r="H641" s="14" t="str">
        <f>HYPERLINK("https://pulti.ua/tv/pult-dlja--samsung-aa59-00382a-noc-short-case")</f>
        <v>https://pulti.ua/tv/pult-dlja--samsung-aa59-00382a-noc-short-case</v>
      </c>
    </row>
    <row r="642" spans="1:8" s="18" customFormat="1" ht="15" customHeight="1">
      <c r="A642" s="11">
        <v>1729</v>
      </c>
      <c r="B642" s="12" t="s">
        <v>605</v>
      </c>
      <c r="C642" s="13" t="s">
        <v>22</v>
      </c>
      <c r="D642" s="14"/>
      <c r="E642" s="9">
        <v>56.3</v>
      </c>
      <c r="F642" s="9">
        <f t="shared" si="21"/>
        <v>0</v>
      </c>
      <c r="G642" s="13"/>
      <c r="H642" s="14" t="str">
        <f>HYPERLINK("https://pulti.ua/tv/pult-dlja-samsung-aa59-00401b")</f>
        <v>https://pulti.ua/tv/pult-dlja-samsung-aa59-00401b</v>
      </c>
    </row>
    <row r="643" spans="1:8" s="18" customFormat="1" ht="15" customHeight="1">
      <c r="A643" s="39">
        <v>3245</v>
      </c>
      <c r="B643" s="26" t="s">
        <v>1359</v>
      </c>
      <c r="C643" s="13" t="s">
        <v>22</v>
      </c>
      <c r="D643" s="15" t="s">
        <v>1314</v>
      </c>
      <c r="E643" s="9">
        <v>56.3</v>
      </c>
      <c r="F643" s="9"/>
      <c r="G643" s="13"/>
      <c r="H643" s="14" t="str">
        <f>HYPERLINK("https://pulti.ua/tv/pult-dlja-samsung-aa59-00401b-ic")</f>
        <v>https://pulti.ua/tv/pult-dlja-samsung-aa59-00401b-ic</v>
      </c>
    </row>
    <row r="644" spans="1:8" s="18" customFormat="1" ht="15" customHeight="1">
      <c r="A644" s="11">
        <v>1730</v>
      </c>
      <c r="B644" s="12" t="s">
        <v>606</v>
      </c>
      <c r="C644" s="13" t="s">
        <v>22</v>
      </c>
      <c r="D644" s="14"/>
      <c r="E644" s="9">
        <v>56.3</v>
      </c>
      <c r="F644" s="9">
        <f>D644*E644</f>
        <v>0</v>
      </c>
      <c r="G644" s="13"/>
      <c r="H644" s="14" t="str">
        <f>HYPERLINK("https://pulti.ua/tv/pult-dlja-samsung-aa59-00401c")</f>
        <v>https://pulti.ua/tv/pult-dlja-samsung-aa59-00401c</v>
      </c>
    </row>
    <row r="645" spans="1:8" s="18" customFormat="1" ht="15" customHeight="1">
      <c r="A645" s="39">
        <v>3246</v>
      </c>
      <c r="B645" s="26" t="s">
        <v>607</v>
      </c>
      <c r="C645" s="13" t="s">
        <v>22</v>
      </c>
      <c r="D645" s="14"/>
      <c r="E645" s="9">
        <v>60</v>
      </c>
      <c r="F645" s="9">
        <f>D645*E645</f>
        <v>0</v>
      </c>
      <c r="G645" s="13"/>
      <c r="H645" s="14" t="str">
        <f>HYPERLINK("https://pulti.ua/tv/pult-dlja-samsung-aa59-00401c-ic")</f>
        <v>https://pulti.ua/tv/pult-dlja-samsung-aa59-00401c-ic</v>
      </c>
    </row>
    <row r="646" spans="1:8" s="18" customFormat="1" ht="15" customHeight="1">
      <c r="A646" s="39">
        <v>1731</v>
      </c>
      <c r="B646" s="26" t="s">
        <v>1360</v>
      </c>
      <c r="C646" s="13" t="s">
        <v>14</v>
      </c>
      <c r="D646" s="15" t="s">
        <v>1314</v>
      </c>
      <c r="E646" s="9">
        <v>75</v>
      </c>
      <c r="F646" s="9"/>
      <c r="G646" s="13"/>
      <c r="H646" s="14" t="str">
        <f>HYPERLINK("https://pulti.ua/tv/pult-dlja-samsung-aa59-00465a")</f>
        <v>https://pulti.ua/tv/pult-dlja-samsung-aa59-00465a</v>
      </c>
    </row>
    <row r="647" spans="1:8" s="18" customFormat="1" ht="15" customHeight="1">
      <c r="A647" s="39">
        <v>2879</v>
      </c>
      <c r="B647" s="26" t="s">
        <v>608</v>
      </c>
      <c r="C647" s="13" t="s">
        <v>295</v>
      </c>
      <c r="D647" s="14"/>
      <c r="E647" s="9">
        <v>105</v>
      </c>
      <c r="F647" s="9">
        <f aca="true" t="shared" si="22" ref="F647:F657">D647*E647</f>
        <v>0</v>
      </c>
      <c r="G647" s="13"/>
      <c r="H647" s="14" t="str">
        <f>HYPERLINK("https://pulti.ua/tv/pult-dlja-samsung-aa59-00483a--3d")</f>
        <v>https://pulti.ua/tv/pult-dlja-samsung-aa59-00483a--3d</v>
      </c>
    </row>
    <row r="648" spans="1:8" s="18" customFormat="1" ht="15" customHeight="1">
      <c r="A648" s="39">
        <v>2880</v>
      </c>
      <c r="B648" s="26" t="s">
        <v>609</v>
      </c>
      <c r="C648" s="13" t="s">
        <v>22</v>
      </c>
      <c r="D648" s="14"/>
      <c r="E648" s="9">
        <v>86.3</v>
      </c>
      <c r="F648" s="9">
        <f t="shared" si="22"/>
        <v>0</v>
      </c>
      <c r="G648" s="13"/>
      <c r="H648" s="14" t="str">
        <f>HYPERLINK("https://pulti.ua/tv/pult-dlja-samsung-aa59-00484a")</f>
        <v>https://pulti.ua/tv/pult-dlja-samsung-aa59-00484a</v>
      </c>
    </row>
    <row r="649" spans="1:8" s="18" customFormat="1" ht="15" customHeight="1">
      <c r="A649" s="39">
        <v>1733</v>
      </c>
      <c r="B649" s="26" t="s">
        <v>610</v>
      </c>
      <c r="C649" s="13" t="s">
        <v>14</v>
      </c>
      <c r="D649" s="14"/>
      <c r="E649" s="9">
        <v>93.8</v>
      </c>
      <c r="F649" s="9">
        <f t="shared" si="22"/>
        <v>0</v>
      </c>
      <c r="G649" s="13"/>
      <c r="H649" s="14" t="str">
        <f>HYPERLINK("https://pulti.ua/tv/pult-dlja-samsung-aa59-00507a---3d")</f>
        <v>https://pulti.ua/tv/pult-dlja-samsung-aa59-00507a---3d</v>
      </c>
    </row>
    <row r="650" spans="1:8" s="18" customFormat="1" ht="15" customHeight="1">
      <c r="A650" s="39">
        <v>3496</v>
      </c>
      <c r="B650" s="26" t="s">
        <v>1361</v>
      </c>
      <c r="C650" s="13" t="s">
        <v>14</v>
      </c>
      <c r="D650" s="14"/>
      <c r="E650" s="9">
        <v>105</v>
      </c>
      <c r="F650" s="9">
        <f t="shared" si="22"/>
        <v>0</v>
      </c>
      <c r="G650" s="13"/>
      <c r="H650" s="14" t="str">
        <f>HYPERLINK("https://pulti.ua/tv/pult-dlja-samsung-aa59-00560a-3d")</f>
        <v>https://pulti.ua/tv/pult-dlja-samsung-aa59-00560a-3d</v>
      </c>
    </row>
    <row r="651" spans="1:8" s="18" customFormat="1" ht="15" customHeight="1">
      <c r="A651" s="11">
        <v>3988</v>
      </c>
      <c r="B651" s="12" t="s">
        <v>611</v>
      </c>
      <c r="C651" s="13" t="s">
        <v>14</v>
      </c>
      <c r="D651" s="14"/>
      <c r="E651" s="9">
        <v>67.5</v>
      </c>
      <c r="F651" s="9">
        <f t="shared" si="22"/>
        <v>0</v>
      </c>
      <c r="G651" s="13"/>
      <c r="H651" s="14" t="str">
        <f>HYPERLINK("https://pulti.ua/tv/pult-dlja-samsung-aa59-00581a")</f>
        <v>https://pulti.ua/tv/pult-dlja-samsung-aa59-00581a</v>
      </c>
    </row>
    <row r="652" spans="1:8" s="18" customFormat="1" ht="15" customHeight="1">
      <c r="A652" s="39">
        <v>3247</v>
      </c>
      <c r="B652" s="26" t="s">
        <v>612</v>
      </c>
      <c r="C652" s="13" t="s">
        <v>14</v>
      </c>
      <c r="D652" s="14"/>
      <c r="E652" s="9">
        <v>75.8</v>
      </c>
      <c r="F652" s="9">
        <f t="shared" si="22"/>
        <v>0</v>
      </c>
      <c r="G652" s="13"/>
      <c r="H652" s="14" t="str">
        <f>HYPERLINK("https://pulti.ua/tv/pult-dlja-samsung-aa59-00581a--3d")</f>
        <v>https://pulti.ua/tv/pult-dlja-samsung-aa59-00581a--3d</v>
      </c>
    </row>
    <row r="653" spans="1:8" s="18" customFormat="1" ht="15" customHeight="1">
      <c r="A653" s="39">
        <v>3248</v>
      </c>
      <c r="B653" s="26" t="s">
        <v>613</v>
      </c>
      <c r="C653" s="13" t="s">
        <v>14</v>
      </c>
      <c r="D653" s="14"/>
      <c r="E653" s="9">
        <v>78.8</v>
      </c>
      <c r="F653" s="9">
        <f t="shared" si="22"/>
        <v>0</v>
      </c>
      <c r="G653" s="13"/>
      <c r="H653" s="14" t="str">
        <f>HYPERLINK("https://pulti.ua/tv/pult-dlja-samsung-aa59-00582a")</f>
        <v>https://pulti.ua/tv/pult-dlja-samsung-aa59-00582a</v>
      </c>
    </row>
    <row r="654" spans="1:8" s="18" customFormat="1" ht="15" customHeight="1">
      <c r="A654" s="39">
        <v>2460</v>
      </c>
      <c r="B654" s="26" t="s">
        <v>614</v>
      </c>
      <c r="C654" s="13" t="s">
        <v>14</v>
      </c>
      <c r="D654" s="14"/>
      <c r="E654" s="9">
        <v>63.8</v>
      </c>
      <c r="F654" s="9">
        <f t="shared" si="22"/>
        <v>0</v>
      </c>
      <c r="G654" s="13"/>
      <c r="H654" s="14" t="str">
        <f>HYPERLINK("https://pulti.ua/tv/pult-dlja-samsung-aa59-00602a")</f>
        <v>https://pulti.ua/tv/pult-dlja-samsung-aa59-00602a</v>
      </c>
    </row>
    <row r="655" spans="1:8" s="18" customFormat="1" ht="15" customHeight="1">
      <c r="A655" s="11">
        <v>4283</v>
      </c>
      <c r="B655" s="12" t="s">
        <v>615</v>
      </c>
      <c r="C655" s="13" t="s">
        <v>14</v>
      </c>
      <c r="D655" s="14"/>
      <c r="E655" s="9">
        <v>53.6</v>
      </c>
      <c r="F655" s="9">
        <f t="shared" si="22"/>
        <v>0</v>
      </c>
      <c r="G655" s="13"/>
      <c r="H655" s="14" t="str">
        <f>HYPERLINK("https://pulti.ua/tv/pult-dlya-samsung-aa59-00603a")</f>
        <v>https://pulti.ua/tv/pult-dlya-samsung-aa59-00603a</v>
      </c>
    </row>
    <row r="656" spans="1:8" s="18" customFormat="1" ht="15" customHeight="1">
      <c r="A656" s="39">
        <v>2483</v>
      </c>
      <c r="B656" s="26" t="s">
        <v>616</v>
      </c>
      <c r="C656" s="13" t="s">
        <v>14</v>
      </c>
      <c r="D656" s="14"/>
      <c r="E656" s="9">
        <v>67.5</v>
      </c>
      <c r="F656" s="9">
        <f t="shared" si="22"/>
        <v>0</v>
      </c>
      <c r="G656" s="13"/>
      <c r="H656" s="14" t="str">
        <f>HYPERLINK("https://pulti.ua/tv/pult-dlja-samsung-aa59-00603a-3d")</f>
        <v>https://pulti.ua/tv/pult-dlja-samsung-aa59-00603a-3d</v>
      </c>
    </row>
    <row r="657" spans="1:8" s="18" customFormat="1" ht="15" customHeight="1">
      <c r="A657" s="39">
        <v>3558</v>
      </c>
      <c r="B657" s="26" t="s">
        <v>617</v>
      </c>
      <c r="C657" s="13" t="s">
        <v>14</v>
      </c>
      <c r="D657" s="14"/>
      <c r="E657" s="9">
        <v>123.8</v>
      </c>
      <c r="F657" s="9">
        <f t="shared" si="22"/>
        <v>0</v>
      </c>
      <c r="G657" s="13"/>
      <c r="H657" s="14" t="str">
        <f>HYPERLINK("https://pulti.ua/tv/pult-dlja-samsung-aa59-00630a--3d")</f>
        <v>https://pulti.ua/tv/pult-dlja-samsung-aa59-00630a--3d</v>
      </c>
    </row>
    <row r="658" spans="1:8" s="18" customFormat="1" ht="15" customHeight="1">
      <c r="A658" s="39">
        <v>3249</v>
      </c>
      <c r="B658" s="26" t="s">
        <v>1362</v>
      </c>
      <c r="C658" s="13" t="s">
        <v>14</v>
      </c>
      <c r="D658" s="15" t="s">
        <v>1314</v>
      </c>
      <c r="E658" s="9">
        <v>73.1</v>
      </c>
      <c r="F658" s="9"/>
      <c r="G658" s="13"/>
      <c r="H658" s="14" t="str">
        <f>HYPERLINK("https://pulti.ua/tv/pult-dlja-samsung-aa59-00638a--3d")</f>
        <v>https://pulti.ua/tv/pult-dlja-samsung-aa59-00638a--3d</v>
      </c>
    </row>
    <row r="659" spans="1:8" s="18" customFormat="1" ht="15" customHeight="1">
      <c r="A659" s="11">
        <v>4620</v>
      </c>
      <c r="B659" s="12" t="s">
        <v>618</v>
      </c>
      <c r="C659" s="13" t="s">
        <v>14</v>
      </c>
      <c r="D659" s="14"/>
      <c r="E659" s="9">
        <v>45</v>
      </c>
      <c r="F659" s="9">
        <f>D659*E659</f>
        <v>0</v>
      </c>
      <c r="G659" s="13"/>
      <c r="H659" s="14" t="str">
        <f>HYPERLINK("https://pulti.ua/tv/pult-dlya-samsung-aa59-00741a")</f>
        <v>https://pulti.ua/tv/pult-dlya-samsung-aa59-00741a</v>
      </c>
    </row>
    <row r="660" spans="1:8" s="18" customFormat="1" ht="15" customHeight="1">
      <c r="A660" s="39">
        <v>3491</v>
      </c>
      <c r="B660" s="26" t="s">
        <v>619</v>
      </c>
      <c r="C660" s="13" t="s">
        <v>14</v>
      </c>
      <c r="D660" s="14"/>
      <c r="E660" s="9">
        <v>63.8</v>
      </c>
      <c r="F660" s="9">
        <f>D660*E660</f>
        <v>0</v>
      </c>
      <c r="G660" s="13"/>
      <c r="H660" s="14" t="str">
        <f>HYPERLINK("https://pulti.ua/tv/pult-dlja-samsung-aa59-00741a")</f>
        <v>https://pulti.ua/tv/pult-dlja-samsung-aa59-00741a</v>
      </c>
    </row>
    <row r="661" spans="1:8" s="18" customFormat="1" ht="15" customHeight="1">
      <c r="A661" s="39">
        <v>3492</v>
      </c>
      <c r="B661" s="26" t="s">
        <v>620</v>
      </c>
      <c r="C661" s="13" t="s">
        <v>14</v>
      </c>
      <c r="D661" s="14"/>
      <c r="E661" s="9">
        <v>63.8</v>
      </c>
      <c r="F661" s="9">
        <f>D661*E661</f>
        <v>0</v>
      </c>
      <c r="G661" s="13"/>
      <c r="H661" s="14" t="str">
        <f>HYPERLINK("https://pulti.ua/tv/pult-dlja-samsung-aa59-00742a")</f>
        <v>https://pulti.ua/tv/pult-dlja-samsung-aa59-00742a</v>
      </c>
    </row>
    <row r="662" spans="1:8" s="18" customFormat="1" ht="15" customHeight="1">
      <c r="A662" s="39">
        <v>3493</v>
      </c>
      <c r="B662" s="26" t="s">
        <v>621</v>
      </c>
      <c r="C662" s="13" t="s">
        <v>14</v>
      </c>
      <c r="D662" s="14"/>
      <c r="E662" s="9">
        <v>71.3</v>
      </c>
      <c r="F662" s="9">
        <f>D662*E662</f>
        <v>0</v>
      </c>
      <c r="G662" s="13"/>
      <c r="H662" s="14" t="str">
        <f>HYPERLINK("https://pulti.ua/tv/pult-dlja-samsung-aa59-00743a--3d")</f>
        <v>https://pulti.ua/tv/pult-dlja-samsung-aa59-00743a--3d</v>
      </c>
    </row>
    <row r="663" spans="1:8" s="18" customFormat="1" ht="15" customHeight="1">
      <c r="A663" s="39">
        <v>3844</v>
      </c>
      <c r="B663" s="26" t="s">
        <v>622</v>
      </c>
      <c r="C663" s="13" t="s">
        <v>14</v>
      </c>
      <c r="D663" s="14"/>
      <c r="E663" s="9">
        <v>69.4</v>
      </c>
      <c r="F663" s="9">
        <f>D663*E663</f>
        <v>0</v>
      </c>
      <c r="G663" s="13"/>
      <c r="H663" s="14" t="str">
        <f>HYPERLINK("https://pulti.ua/tv/pult-dlja-samsung-aa59-00786a")</f>
        <v>https://pulti.ua/tv/pult-dlja-samsung-aa59-00786a</v>
      </c>
    </row>
    <row r="664" spans="1:8" s="18" customFormat="1" ht="15" customHeight="1">
      <c r="A664" s="39">
        <v>3494</v>
      </c>
      <c r="B664" s="26" t="s">
        <v>1363</v>
      </c>
      <c r="C664" s="13" t="s">
        <v>14</v>
      </c>
      <c r="D664" s="15" t="s">
        <v>1314</v>
      </c>
      <c r="E664" s="9">
        <v>82.5</v>
      </c>
      <c r="F664" s="9"/>
      <c r="G664" s="13"/>
      <c r="H664" s="14" t="str">
        <f>HYPERLINK("https://pulti.ua/tv/pult-dlja-samsung-aa59-00793a")</f>
        <v>https://pulti.ua/tv/pult-dlja-samsung-aa59-00793a</v>
      </c>
    </row>
    <row r="665" spans="1:8" s="18" customFormat="1" ht="15" customHeight="1">
      <c r="A665" s="39">
        <v>3495</v>
      </c>
      <c r="B665" s="26" t="s">
        <v>1364</v>
      </c>
      <c r="C665" s="13" t="s">
        <v>14</v>
      </c>
      <c r="D665" s="14"/>
      <c r="E665" s="9">
        <v>88.1</v>
      </c>
      <c r="F665" s="9">
        <f aca="true" t="shared" si="23" ref="F665:F676">D665*E665</f>
        <v>0</v>
      </c>
      <c r="G665" s="13"/>
      <c r="H665" s="14" t="str">
        <f>HYPERLINK("https://pulti.ua/tv/pult-dlja-samsung-aa59-00795a")</f>
        <v>https://pulti.ua/tv/pult-dlja-samsung-aa59-00795a</v>
      </c>
    </row>
    <row r="666" spans="1:8" s="18" customFormat="1" ht="15" customHeight="1">
      <c r="A666" s="39">
        <v>3833</v>
      </c>
      <c r="B666" s="26" t="s">
        <v>623</v>
      </c>
      <c r="C666" s="13" t="s">
        <v>14</v>
      </c>
      <c r="D666" s="14"/>
      <c r="E666" s="9">
        <v>82.5</v>
      </c>
      <c r="F666" s="9">
        <f t="shared" si="23"/>
        <v>0</v>
      </c>
      <c r="G666" s="13"/>
      <c r="H666" s="14" t="str">
        <f>HYPERLINK("https://pulti.ua/tv/pult-dlja-samsung-aa59-00818a--3d")</f>
        <v>https://pulti.ua/tv/pult-dlja-samsung-aa59-00818a--3d</v>
      </c>
    </row>
    <row r="667" spans="1:8" s="18" customFormat="1" ht="15" customHeight="1">
      <c r="A667" s="39">
        <v>3894</v>
      </c>
      <c r="B667" s="26" t="s">
        <v>624</v>
      </c>
      <c r="C667" s="13" t="s">
        <v>14</v>
      </c>
      <c r="D667" s="14"/>
      <c r="E667" s="9">
        <v>82.5</v>
      </c>
      <c r="F667" s="9">
        <f t="shared" si="23"/>
        <v>0</v>
      </c>
      <c r="G667" s="13"/>
      <c r="H667" s="14" t="str">
        <f>HYPERLINK("https://pulti.ua/tv/pult-dlja-samsung-aa59-00823a")</f>
        <v>https://pulti.ua/tv/pult-dlja-samsung-aa59-00823a</v>
      </c>
    </row>
    <row r="668" spans="1:8" s="18" customFormat="1" ht="15" customHeight="1">
      <c r="A668" s="11">
        <v>1735</v>
      </c>
      <c r="B668" s="12" t="s">
        <v>625</v>
      </c>
      <c r="C668" s="13" t="s">
        <v>11</v>
      </c>
      <c r="D668" s="14"/>
      <c r="E668" s="9">
        <v>58.1</v>
      </c>
      <c r="F668" s="9">
        <f t="shared" si="23"/>
        <v>0</v>
      </c>
      <c r="G668" s="13"/>
      <c r="H668" s="14" t="str">
        <f>HYPERLINK("https://pulti.ua/tv/pult-dlja-samsung-aa59-10031q")</f>
        <v>https://pulti.ua/tv/pult-dlja-samsung-aa59-10031q</v>
      </c>
    </row>
    <row r="669" spans="1:8" s="18" customFormat="1" ht="15" customHeight="1">
      <c r="A669" s="11">
        <v>1736</v>
      </c>
      <c r="B669" s="12" t="s">
        <v>626</v>
      </c>
      <c r="C669" s="13" t="s">
        <v>11</v>
      </c>
      <c r="D669" s="14"/>
      <c r="E669" s="9">
        <v>71.3</v>
      </c>
      <c r="F669" s="9">
        <f t="shared" si="23"/>
        <v>0</v>
      </c>
      <c r="G669" s="13"/>
      <c r="H669" s="14" t="str">
        <f>HYPERLINK("https://pulti.ua/tv/pult-dlja-samsung-aa59-10032w")</f>
        <v>https://pulti.ua/tv/pult-dlja-samsung-aa59-10032w</v>
      </c>
    </row>
    <row r="670" spans="1:8" s="18" customFormat="1" ht="15" customHeight="1">
      <c r="A670" s="11">
        <v>1737</v>
      </c>
      <c r="B670" s="12" t="s">
        <v>627</v>
      </c>
      <c r="C670" s="13" t="s">
        <v>11</v>
      </c>
      <c r="D670" s="14"/>
      <c r="E670" s="9">
        <v>69.4</v>
      </c>
      <c r="F670" s="9">
        <f t="shared" si="23"/>
        <v>0</v>
      </c>
      <c r="G670" s="13"/>
      <c r="H670" s="14" t="str">
        <f>HYPERLINK("https://pulti.ua/tv/pult-dlja-samsung-aa59-10075j")</f>
        <v>https://pulti.ua/tv/pult-dlja-samsung-aa59-10075j</v>
      </c>
    </row>
    <row r="671" spans="1:8" s="18" customFormat="1" ht="15" customHeight="1">
      <c r="A671" s="11">
        <v>1738</v>
      </c>
      <c r="B671" s="12" t="s">
        <v>628</v>
      </c>
      <c r="C671" s="13" t="s">
        <v>11</v>
      </c>
      <c r="D671" s="14"/>
      <c r="E671" s="9">
        <v>71.3</v>
      </c>
      <c r="F671" s="9">
        <f t="shared" si="23"/>
        <v>0</v>
      </c>
      <c r="G671" s="13"/>
      <c r="H671" s="14" t="str">
        <f>HYPERLINK("https://pulti.ua/tv/pult-dlja-samsung-aa59-10075k")</f>
        <v>https://pulti.ua/tv/pult-dlja-samsung-aa59-10075k</v>
      </c>
    </row>
    <row r="672" spans="1:8" s="18" customFormat="1" ht="15" customHeight="1">
      <c r="A672" s="11">
        <v>2897</v>
      </c>
      <c r="B672" s="12" t="s">
        <v>629</v>
      </c>
      <c r="C672" s="13" t="s">
        <v>11</v>
      </c>
      <c r="D672" s="14"/>
      <c r="E672" s="9">
        <v>37.1</v>
      </c>
      <c r="F672" s="9">
        <f t="shared" si="23"/>
        <v>0</v>
      </c>
      <c r="G672" s="13"/>
      <c r="H672" s="14" t="str">
        <f>HYPERLINK("https://pulti.ua/tv/pult-dlja-samsung-aa59-10075l")</f>
        <v>https://pulti.ua/tv/pult-dlja-samsung-aa59-10075l</v>
      </c>
    </row>
    <row r="673" spans="1:8" s="18" customFormat="1" ht="15" customHeight="1">
      <c r="A673" s="11">
        <v>1740</v>
      </c>
      <c r="B673" s="12" t="s">
        <v>630</v>
      </c>
      <c r="C673" s="13" t="s">
        <v>11</v>
      </c>
      <c r="D673" s="14"/>
      <c r="E673" s="9">
        <v>48.8</v>
      </c>
      <c r="F673" s="9">
        <f t="shared" si="23"/>
        <v>0</v>
      </c>
      <c r="G673" s="13"/>
      <c r="H673" s="14" t="str">
        <f>HYPERLINK("https://pulti.ua/tv/pult-dlja-samsung-aa59-10081f")</f>
        <v>https://pulti.ua/tv/pult-dlja-samsung-aa59-10081f</v>
      </c>
    </row>
    <row r="674" spans="1:8" s="18" customFormat="1" ht="15" customHeight="1">
      <c r="A674" s="39">
        <v>3418</v>
      </c>
      <c r="B674" s="26" t="s">
        <v>631</v>
      </c>
      <c r="C674" s="13" t="s">
        <v>11</v>
      </c>
      <c r="D674" s="14"/>
      <c r="E674" s="9">
        <v>65.6</v>
      </c>
      <c r="F674" s="9">
        <f t="shared" si="23"/>
        <v>0</v>
      </c>
      <c r="G674" s="13"/>
      <c r="H674" s="14" t="str">
        <f>HYPERLINK("https://pulti.ua/tv/pult-dlja-samsung-aa59-10081f-ic")</f>
        <v>https://pulti.ua/tv/pult-dlja-samsung-aa59-10081f-ic</v>
      </c>
    </row>
    <row r="675" spans="1:8" s="18" customFormat="1" ht="15" customHeight="1">
      <c r="A675" s="11">
        <v>1744</v>
      </c>
      <c r="B675" s="12" t="s">
        <v>632</v>
      </c>
      <c r="C675" s="13" t="s">
        <v>11</v>
      </c>
      <c r="D675" s="14"/>
      <c r="E675" s="9">
        <v>56.3</v>
      </c>
      <c r="F675" s="9">
        <f t="shared" si="23"/>
        <v>0</v>
      </c>
      <c r="G675" s="13"/>
      <c r="H675" s="14" t="str">
        <f>HYPERLINK("https://pulti.ua/tv/pult-dlja-samsung-aa59-10107c")</f>
        <v>https://pulti.ua/tv/pult-dlja-samsung-aa59-10107c</v>
      </c>
    </row>
    <row r="676" spans="1:8" s="18" customFormat="1" ht="15" customHeight="1">
      <c r="A676" s="11">
        <v>1741</v>
      </c>
      <c r="B676" s="12" t="s">
        <v>633</v>
      </c>
      <c r="C676" s="13" t="s">
        <v>11</v>
      </c>
      <c r="D676" s="14"/>
      <c r="E676" s="9">
        <v>50.6</v>
      </c>
      <c r="F676" s="9">
        <f t="shared" si="23"/>
        <v>0</v>
      </c>
      <c r="G676" s="13"/>
      <c r="H676" s="14" t="str">
        <f>HYPERLINK("https://pulti.ua/tv/pult-dlja-samsung-aa59-10107n")</f>
        <v>https://pulti.ua/tv/pult-dlja-samsung-aa59-10107n</v>
      </c>
    </row>
    <row r="677" spans="1:8" s="18" customFormat="1" ht="15" customHeight="1">
      <c r="A677" s="39">
        <v>1054</v>
      </c>
      <c r="B677" s="26" t="s">
        <v>634</v>
      </c>
      <c r="C677" s="13" t="s">
        <v>11</v>
      </c>
      <c r="D677" s="15" t="s">
        <v>1314</v>
      </c>
      <c r="E677" s="9">
        <v>54.4</v>
      </c>
      <c r="F677" s="9"/>
      <c r="G677" s="13"/>
      <c r="H677" s="14" t="str">
        <f>HYPERLINK("https://pulti.ua/tv/pult-dlja-samsung-aa59-10107n-ic")</f>
        <v>https://pulti.ua/tv/pult-dlja-samsung-aa59-10107n-ic</v>
      </c>
    </row>
    <row r="678" spans="1:8" s="18" customFormat="1" ht="15" customHeight="1">
      <c r="A678" s="11">
        <v>1745</v>
      </c>
      <c r="B678" s="12" t="s">
        <v>635</v>
      </c>
      <c r="C678" s="13" t="s">
        <v>11</v>
      </c>
      <c r="D678" s="14"/>
      <c r="E678" s="9">
        <v>56.3</v>
      </c>
      <c r="F678" s="9">
        <f>D678*E678</f>
        <v>0</v>
      </c>
      <c r="G678" s="13"/>
      <c r="H678" s="14" t="str">
        <f>HYPERLINK("https://pulti.ua/tv/pult-dlja-samsung-aa59-10116a")</f>
        <v>https://pulti.ua/tv/pult-dlja-samsung-aa59-10116a</v>
      </c>
    </row>
    <row r="679" spans="1:8" s="18" customFormat="1" ht="15" customHeight="1">
      <c r="A679" s="39">
        <v>3250</v>
      </c>
      <c r="B679" s="26" t="s">
        <v>1365</v>
      </c>
      <c r="C679" s="13" t="s">
        <v>22</v>
      </c>
      <c r="D679" s="15" t="s">
        <v>1314</v>
      </c>
      <c r="E679" s="9">
        <v>65.6</v>
      </c>
      <c r="F679" s="9"/>
      <c r="G679" s="13"/>
      <c r="H679" s="14" t="str">
        <f>HYPERLINK("https://pulti.ua/tv/pult-dlja-samsung-bn59-00507a-ic")</f>
        <v>https://pulti.ua/tv/pult-dlja-samsung-bn59-00507a-ic</v>
      </c>
    </row>
    <row r="680" spans="1:8" s="18" customFormat="1" ht="15" customHeight="1">
      <c r="A680" s="39">
        <v>1759</v>
      </c>
      <c r="B680" s="26" t="s">
        <v>636</v>
      </c>
      <c r="C680" s="13" t="s">
        <v>22</v>
      </c>
      <c r="D680" s="14"/>
      <c r="E680" s="9">
        <v>56.3</v>
      </c>
      <c r="F680" s="9">
        <f aca="true" t="shared" si="24" ref="F680:F686">D680*E680</f>
        <v>0</v>
      </c>
      <c r="G680" s="13"/>
      <c r="H680" s="14" t="str">
        <f>HYPERLINK("https://pulti.ua/tv/pult-dlja-samsung-bn59-00512a")</f>
        <v>https://pulti.ua/tv/pult-dlja-samsung-bn59-00512a</v>
      </c>
    </row>
    <row r="681" spans="1:8" s="18" customFormat="1" ht="15" customHeight="1">
      <c r="A681" s="39">
        <v>1762</v>
      </c>
      <c r="B681" s="26" t="s">
        <v>637</v>
      </c>
      <c r="C681" s="13" t="s">
        <v>22</v>
      </c>
      <c r="D681" s="14"/>
      <c r="E681" s="9">
        <v>56.3</v>
      </c>
      <c r="F681" s="9">
        <f t="shared" si="24"/>
        <v>0</v>
      </c>
      <c r="G681" s="13"/>
      <c r="H681" s="14" t="str">
        <f>HYPERLINK("https://pulti.ua/tv/pult-dlja-samsung-bn59-00555a")</f>
        <v>https://pulti.ua/tv/pult-dlja-samsung-bn59-00555a</v>
      </c>
    </row>
    <row r="682" spans="1:8" s="18" customFormat="1" ht="15" customHeight="1">
      <c r="A682" s="39">
        <v>3251</v>
      </c>
      <c r="B682" s="26" t="s">
        <v>1366</v>
      </c>
      <c r="C682" s="13" t="s">
        <v>22</v>
      </c>
      <c r="D682" s="14"/>
      <c r="E682" s="9">
        <v>75</v>
      </c>
      <c r="F682" s="9">
        <f t="shared" si="24"/>
        <v>0</v>
      </c>
      <c r="G682" s="13"/>
      <c r="H682" s="14" t="str">
        <f>HYPERLINK("https://pulti.ua/tv/pult-dlja-samsung-bn59-00609a-ic")</f>
        <v>https://pulti.ua/tv/pult-dlja-samsung-bn59-00609a-ic</v>
      </c>
    </row>
    <row r="683" spans="1:8" s="18" customFormat="1" ht="15" customHeight="1">
      <c r="A683" s="39">
        <v>1773</v>
      </c>
      <c r="B683" s="26" t="s">
        <v>638</v>
      </c>
      <c r="C683" s="13" t="s">
        <v>22</v>
      </c>
      <c r="D683" s="14"/>
      <c r="E683" s="9">
        <v>108.8</v>
      </c>
      <c r="F683" s="9">
        <f t="shared" si="24"/>
        <v>0</v>
      </c>
      <c r="G683" s="13"/>
      <c r="H683" s="14" t="str">
        <f>HYPERLINK("https://pulti.ua/tv/pult-dlja-samsung-bn59-00685a-ic")</f>
        <v>https://pulti.ua/tv/pult-dlja-samsung-bn59-00685a-ic</v>
      </c>
    </row>
    <row r="684" spans="1:8" s="18" customFormat="1" ht="15" customHeight="1">
      <c r="A684" s="39">
        <v>3102</v>
      </c>
      <c r="B684" s="26" t="s">
        <v>639</v>
      </c>
      <c r="C684" s="13" t="s">
        <v>22</v>
      </c>
      <c r="D684" s="14"/>
      <c r="E684" s="9">
        <v>91.9</v>
      </c>
      <c r="F684" s="9">
        <f t="shared" si="24"/>
        <v>0</v>
      </c>
      <c r="G684" s="13"/>
      <c r="H684" s="14" t="str">
        <f>HYPERLINK("https://pulti.ua/tv/pult-dlja-samsung-bn59-00862a")</f>
        <v>https://pulti.ua/tv/pult-dlja-samsung-bn59-00862a</v>
      </c>
    </row>
    <row r="685" spans="1:8" s="18" customFormat="1" ht="15" customHeight="1">
      <c r="A685" s="39">
        <v>1125</v>
      </c>
      <c r="B685" s="26" t="s">
        <v>640</v>
      </c>
      <c r="C685" s="13" t="s">
        <v>22</v>
      </c>
      <c r="D685" s="14"/>
      <c r="E685" s="9">
        <v>65.6</v>
      </c>
      <c r="F685" s="9">
        <f t="shared" si="24"/>
        <v>0</v>
      </c>
      <c r="G685" s="13"/>
      <c r="H685" s="14" t="str">
        <f>HYPERLINK("https://pulti.ua/tv/pult-dlja-samsung-bn59-00865a")</f>
        <v>https://pulti.ua/tv/pult-dlja-samsung-bn59-00865a</v>
      </c>
    </row>
    <row r="686" spans="1:8" s="18" customFormat="1" ht="15" customHeight="1">
      <c r="A686" s="39">
        <v>1777</v>
      </c>
      <c r="B686" s="26" t="s">
        <v>641</v>
      </c>
      <c r="C686" s="13" t="s">
        <v>22</v>
      </c>
      <c r="D686" s="14"/>
      <c r="E686" s="9">
        <v>112.5</v>
      </c>
      <c r="F686" s="9">
        <f t="shared" si="24"/>
        <v>0</v>
      </c>
      <c r="G686" s="13"/>
      <c r="H686" s="14" t="str">
        <f>HYPERLINK("https://pulti.ua/tv/pult-dlja-samsung-bn59-00938a")</f>
        <v>https://pulti.ua/tv/pult-dlja-samsung-bn59-00938a</v>
      </c>
    </row>
    <row r="687" spans="1:8" s="18" customFormat="1" ht="15" customHeight="1">
      <c r="A687" s="39">
        <v>1780</v>
      </c>
      <c r="B687" s="26" t="s">
        <v>642</v>
      </c>
      <c r="C687" s="13" t="s">
        <v>22</v>
      </c>
      <c r="D687" s="15" t="s">
        <v>1314</v>
      </c>
      <c r="E687" s="9">
        <v>71.3</v>
      </c>
      <c r="F687" s="9"/>
      <c r="G687" s="13"/>
      <c r="H687" s="14" t="str">
        <f>HYPERLINK("https://pulti.ua/tv/pult-dlja-samsung-bn59-01005a-ic")</f>
        <v>https://pulti.ua/tv/pult-dlja-samsung-bn59-01005a-ic</v>
      </c>
    </row>
    <row r="688" spans="1:8" s="18" customFormat="1" ht="15" customHeight="1">
      <c r="A688" s="39">
        <v>1781</v>
      </c>
      <c r="B688" s="26" t="s">
        <v>643</v>
      </c>
      <c r="C688" s="13" t="s">
        <v>22</v>
      </c>
      <c r="D688" s="14"/>
      <c r="E688" s="9">
        <v>84.4</v>
      </c>
      <c r="F688" s="9">
        <f>D688*E688</f>
        <v>0</v>
      </c>
      <c r="G688" s="13"/>
      <c r="H688" s="14" t="str">
        <f>HYPERLINK("https://pulti.ua/tv/pult-dlja-samsung-bn59-01014a")</f>
        <v>https://pulti.ua/tv/pult-dlja-samsung-bn59-01014a</v>
      </c>
    </row>
    <row r="689" spans="1:8" s="18" customFormat="1" ht="15" customHeight="1">
      <c r="A689" s="39">
        <v>1783</v>
      </c>
      <c r="B689" s="26" t="s">
        <v>644</v>
      </c>
      <c r="C689" s="13" t="s">
        <v>14</v>
      </c>
      <c r="D689" s="14"/>
      <c r="E689" s="9">
        <v>101.3</v>
      </c>
      <c r="F689" s="9">
        <f>D689*E689</f>
        <v>0</v>
      </c>
      <c r="G689" s="13"/>
      <c r="H689" s="14" t="str">
        <f>HYPERLINK("https://pulti.ua/tv/pult-dlja-samsung-bn59-01039a")</f>
        <v>https://pulti.ua/tv/pult-dlja-samsung-bn59-01039a</v>
      </c>
    </row>
    <row r="690" spans="1:8" s="18" customFormat="1" ht="15" customHeight="1">
      <c r="A690" s="39">
        <v>1136</v>
      </c>
      <c r="B690" s="26" t="s">
        <v>645</v>
      </c>
      <c r="C690" s="13" t="s">
        <v>14</v>
      </c>
      <c r="D690" s="14"/>
      <c r="E690" s="9">
        <v>86.3</v>
      </c>
      <c r="F690" s="9">
        <f>D690*E690</f>
        <v>0</v>
      </c>
      <c r="G690" s="13"/>
      <c r="H690" s="14" t="str">
        <f>HYPERLINK("https://pulti.ua/tv/pult-dlja-samsung-bn59-01040a--3d")</f>
        <v>https://pulti.ua/tv/pult-dlja-samsung-bn59-01040a--3d</v>
      </c>
    </row>
    <row r="691" spans="1:8" s="18" customFormat="1" ht="15" customHeight="1">
      <c r="A691" s="39">
        <v>3025</v>
      </c>
      <c r="B691" s="26" t="s">
        <v>1367</v>
      </c>
      <c r="C691" s="13" t="s">
        <v>14</v>
      </c>
      <c r="D691" s="14"/>
      <c r="E691" s="9">
        <v>93.8</v>
      </c>
      <c r="F691" s="9">
        <f>D691*E691</f>
        <v>0</v>
      </c>
      <c r="G691" s="13"/>
      <c r="H691" s="14" t="str">
        <f>HYPERLINK("https://pulti.ua/tv/pult-dlja-samsung-bn59-01078a")</f>
        <v>https://pulti.ua/tv/pult-dlja-samsung-bn59-01078a</v>
      </c>
    </row>
    <row r="692" spans="1:8" s="18" customFormat="1" ht="15" customHeight="1">
      <c r="A692" s="39">
        <v>3788</v>
      </c>
      <c r="B692" s="26" t="s">
        <v>646</v>
      </c>
      <c r="C692" s="13" t="s">
        <v>14</v>
      </c>
      <c r="D692" s="15" t="s">
        <v>1314</v>
      </c>
      <c r="E692" s="9">
        <v>78.8</v>
      </c>
      <c r="F692" s="9"/>
      <c r="G692" s="13"/>
      <c r="H692" s="14" t="str">
        <f>HYPERLINK("https://pulti.ua/tv/pult-dlja-samsung-bn59-01178b-ic")</f>
        <v>https://pulti.ua/tv/pult-dlja-samsung-bn59-01178b-ic</v>
      </c>
    </row>
    <row r="693" spans="1:8" s="18" customFormat="1" ht="15" customHeight="1">
      <c r="A693" s="39">
        <v>4117</v>
      </c>
      <c r="B693" s="26" t="s">
        <v>1368</v>
      </c>
      <c r="C693" s="13" t="s">
        <v>14</v>
      </c>
      <c r="D693" s="14"/>
      <c r="E693" s="9">
        <v>153.8</v>
      </c>
      <c r="F693" s="9">
        <f>D693*E693</f>
        <v>0</v>
      </c>
      <c r="G693" s="13"/>
      <c r="H693" s="14" t="str">
        <f>HYPERLINK("https://pulti.ua/tv/pult-dlya-samsung-bn59-01178g-white")</f>
        <v>https://pulti.ua/tv/pult-dlya-samsung-bn59-01178g-white</v>
      </c>
    </row>
    <row r="694" spans="1:8" s="18" customFormat="1" ht="15" customHeight="1">
      <c r="A694" s="39">
        <v>3845</v>
      </c>
      <c r="B694" s="26" t="s">
        <v>647</v>
      </c>
      <c r="C694" s="13" t="s">
        <v>14</v>
      </c>
      <c r="D694" s="14"/>
      <c r="E694" s="9">
        <v>108.8</v>
      </c>
      <c r="F694" s="9">
        <f>D694*E694</f>
        <v>0</v>
      </c>
      <c r="G694" s="13"/>
      <c r="H694" s="14" t="str">
        <f>HYPERLINK("https://pulti.ua/tv/pult-dlja-samsung-bn59-01198c")</f>
        <v>https://pulti.ua/tv/pult-dlja-samsung-bn59-01198c</v>
      </c>
    </row>
    <row r="695" spans="1:8" s="18" customFormat="1" ht="15" customHeight="1">
      <c r="A695" s="39">
        <v>4393</v>
      </c>
      <c r="B695" s="26" t="s">
        <v>648</v>
      </c>
      <c r="C695" s="13" t="s">
        <v>14</v>
      </c>
      <c r="D695" s="14"/>
      <c r="E695" s="9">
        <v>69.4</v>
      </c>
      <c r="F695" s="9">
        <f>D695*E695</f>
        <v>0</v>
      </c>
      <c r="G695" s="13"/>
      <c r="H695" s="14" t="str">
        <f>HYPERLINK("https://pulti.ua/tv/pult-dlya-samsung-bn59-01199g")</f>
        <v>https://pulti.ua/tv/pult-dlya-samsung-bn59-01199g</v>
      </c>
    </row>
    <row r="696" spans="1:8" s="18" customFormat="1" ht="15" customHeight="1">
      <c r="A696" s="39">
        <v>4308</v>
      </c>
      <c r="B696" s="26" t="s">
        <v>1369</v>
      </c>
      <c r="C696" s="13" t="s">
        <v>14</v>
      </c>
      <c r="D696" s="14"/>
      <c r="E696" s="9">
        <v>104.3</v>
      </c>
      <c r="F696" s="9">
        <f>D696*E696</f>
        <v>0</v>
      </c>
      <c r="G696" s="13"/>
      <c r="H696" s="14" t="str">
        <f>HYPERLINK("https://pulti.ua/tv/pult-dlya-samsung-bn59-01259b")</f>
        <v>https://pulti.ua/tv/pult-dlya-samsung-bn59-01259b</v>
      </c>
    </row>
    <row r="697" spans="1:8" s="18" customFormat="1" ht="15" customHeight="1">
      <c r="A697" s="39">
        <v>4412</v>
      </c>
      <c r="B697" s="26" t="s">
        <v>649</v>
      </c>
      <c r="C697" s="13" t="s">
        <v>14</v>
      </c>
      <c r="D697" s="14"/>
      <c r="E697" s="9">
        <v>69.4</v>
      </c>
      <c r="F697" s="9">
        <f>D697*E697</f>
        <v>0</v>
      </c>
      <c r="G697" s="13"/>
      <c r="H697" s="14" t="str">
        <f>HYPERLINK("https://pulti.ua/tv/pult-dlya-samsung-bn59-01268d")</f>
        <v>https://pulti.ua/tv/pult-dlya-samsung-bn59-01268d</v>
      </c>
    </row>
    <row r="698" spans="1:8" s="18" customFormat="1" ht="15" customHeight="1">
      <c r="A698" s="11">
        <v>4603</v>
      </c>
      <c r="B698" s="12" t="s">
        <v>650</v>
      </c>
      <c r="C698" s="13" t="s">
        <v>14</v>
      </c>
      <c r="D698" s="15" t="s">
        <v>1370</v>
      </c>
      <c r="E698" s="9">
        <v>626.3</v>
      </c>
      <c r="F698" s="9"/>
      <c r="G698" s="13"/>
      <c r="H698" s="14" t="str">
        <f>HYPERLINK("https://pulti.ua/uk/tv/pult-dlya-samsung-bn59-01298g")</f>
        <v>https://pulti.ua/uk/tv/pult-dlya-samsung-bn59-01298g</v>
      </c>
    </row>
    <row r="699" spans="1:8" s="18" customFormat="1" ht="15" customHeight="1">
      <c r="A699" s="11">
        <v>4602</v>
      </c>
      <c r="B699" s="12" t="s">
        <v>1371</v>
      </c>
      <c r="C699" s="13" t="s">
        <v>14</v>
      </c>
      <c r="D699" s="15" t="s">
        <v>1370</v>
      </c>
      <c r="E699" s="9">
        <v>626.3</v>
      </c>
      <c r="F699" s="9"/>
      <c r="G699" s="13"/>
      <c r="H699" s="14" t="str">
        <f>HYPERLINK("https://pulti.ua/uk/tv/pult-dlya-samsung-bn59-01312b")</f>
        <v>https://pulti.ua/uk/tv/pult-dlya-samsung-bn59-01312b</v>
      </c>
    </row>
    <row r="700" spans="1:8" s="18" customFormat="1" ht="15" customHeight="1">
      <c r="A700" s="11">
        <v>4604</v>
      </c>
      <c r="B700" s="12" t="s">
        <v>1372</v>
      </c>
      <c r="C700" s="13" t="s">
        <v>14</v>
      </c>
      <c r="D700" s="14"/>
      <c r="E700" s="9">
        <v>468.8</v>
      </c>
      <c r="F700" s="9">
        <f aca="true" t="shared" si="25" ref="F700:F762">D700*E700</f>
        <v>0</v>
      </c>
      <c r="G700" s="13"/>
      <c r="H700" s="14" t="str">
        <f>HYPERLINK("https://pulti.ua/uk/tv/pult-dlya-samsung-bn59-01312f")</f>
        <v>https://pulti.ua/uk/tv/pult-dlya-samsung-bn59-01312f</v>
      </c>
    </row>
    <row r="701" spans="1:8" s="18" customFormat="1" ht="15" customHeight="1">
      <c r="A701" s="39">
        <v>4570</v>
      </c>
      <c r="B701" s="26" t="s">
        <v>651</v>
      </c>
      <c r="C701" s="13" t="s">
        <v>14</v>
      </c>
      <c r="D701" s="14"/>
      <c r="E701" s="9">
        <v>63.8</v>
      </c>
      <c r="F701" s="9">
        <f t="shared" si="25"/>
        <v>0</v>
      </c>
      <c r="G701" s="13"/>
      <c r="H701" s="14" t="str">
        <f>HYPERLINK("https://pulti.ua/tv/pult-dlya-samsung-aa59-01315b")</f>
        <v>https://pulti.ua/tv/pult-dlya-samsung-aa59-01315b</v>
      </c>
    </row>
    <row r="702" spans="1:8" s="18" customFormat="1" ht="15" customHeight="1">
      <c r="A702" s="40">
        <v>4850</v>
      </c>
      <c r="B702" s="41" t="s">
        <v>1373</v>
      </c>
      <c r="C702" s="13" t="s">
        <v>14</v>
      </c>
      <c r="D702" s="14"/>
      <c r="E702" s="9">
        <v>468.8</v>
      </c>
      <c r="F702" s="9">
        <f t="shared" si="25"/>
        <v>0</v>
      </c>
      <c r="G702" s="13"/>
      <c r="H702" s="14" t="str">
        <f>HYPERLINK("https://pulti.ua/tv/pult-dlya-samsung-bn59-01330a-smart-control")</f>
        <v>https://pulti.ua/tv/pult-dlya-samsung-bn59-01330a-smart-control</v>
      </c>
    </row>
    <row r="703" spans="1:8" s="18" customFormat="1" ht="15" customHeight="1">
      <c r="A703" s="11">
        <v>1840</v>
      </c>
      <c r="B703" s="12" t="s">
        <v>652</v>
      </c>
      <c r="C703" s="13" t="s">
        <v>11</v>
      </c>
      <c r="D703" s="14"/>
      <c r="E703" s="9">
        <v>52.5</v>
      </c>
      <c r="F703" s="9">
        <f t="shared" si="25"/>
        <v>0</v>
      </c>
      <c r="G703" s="13"/>
      <c r="H703" s="14" t="str">
        <f>HYPERLINK("https://pulti.ua/tv/pult-dlja-sanyo-1av0u10b00800")</f>
        <v>https://pulti.ua/tv/pult-dlja-sanyo-1av0u10b00800</v>
      </c>
    </row>
    <row r="704" spans="1:8" s="18" customFormat="1" ht="15" customHeight="1">
      <c r="A704" s="11">
        <v>1845</v>
      </c>
      <c r="B704" s="12" t="s">
        <v>653</v>
      </c>
      <c r="C704" s="13" t="s">
        <v>11</v>
      </c>
      <c r="D704" s="14"/>
      <c r="E704" s="9">
        <v>56.3</v>
      </c>
      <c r="F704" s="9">
        <f t="shared" si="25"/>
        <v>0</v>
      </c>
      <c r="G704" s="13"/>
      <c r="H704" s="14" t="str">
        <f>HYPERLINK("https://pulti.ua/tv/pult-dlja-sanyo-1avou10b31200")</f>
        <v>https://pulti.ua/tv/pult-dlja-sanyo-1avou10b31200</v>
      </c>
    </row>
    <row r="705" spans="1:8" s="18" customFormat="1" ht="15" customHeight="1">
      <c r="A705" s="11">
        <v>1846</v>
      </c>
      <c r="B705" s="12" t="s">
        <v>654</v>
      </c>
      <c r="C705" s="13" t="s">
        <v>11</v>
      </c>
      <c r="D705" s="14"/>
      <c r="E705" s="9">
        <v>93.8</v>
      </c>
      <c r="F705" s="9">
        <f t="shared" si="25"/>
        <v>0</v>
      </c>
      <c r="G705" s="13"/>
      <c r="H705" s="14" t="str">
        <f>HYPERLINK("https://pulti.ua/tv/pult-dlja-sanyo-1lb4u10b00300")</f>
        <v>https://pulti.ua/tv/pult-dlja-sanyo-1lb4u10b00300</v>
      </c>
    </row>
    <row r="706" spans="1:8" s="18" customFormat="1" ht="15" customHeight="1">
      <c r="A706" s="11">
        <v>1847</v>
      </c>
      <c r="B706" s="12" t="s">
        <v>655</v>
      </c>
      <c r="C706" s="13" t="s">
        <v>11</v>
      </c>
      <c r="D706" s="14"/>
      <c r="E706" s="9">
        <v>56.3</v>
      </c>
      <c r="F706" s="9">
        <f t="shared" si="25"/>
        <v>0</v>
      </c>
      <c r="G706" s="13"/>
      <c r="H706" s="14" t="str">
        <f>HYPERLINK("https://pulti.ua/tv/pult-dlja-sanyo-4aa4u1t0064")</f>
        <v>https://pulti.ua/tv/pult-dlja-sanyo-4aa4u1t0064</v>
      </c>
    </row>
    <row r="707" spans="1:8" s="18" customFormat="1" ht="15" customHeight="1">
      <c r="A707" s="11">
        <v>1853</v>
      </c>
      <c r="B707" s="12" t="s">
        <v>656</v>
      </c>
      <c r="C707" s="13" t="s">
        <v>11</v>
      </c>
      <c r="D707" s="14"/>
      <c r="E707" s="9">
        <v>56.3</v>
      </c>
      <c r="F707" s="9">
        <f t="shared" si="25"/>
        <v>0</v>
      </c>
      <c r="G707" s="13"/>
      <c r="H707" s="14" t="str">
        <f>HYPERLINK("https://pulti.ua/tv/pult-dlja-sanyo-rc-700")</f>
        <v>https://pulti.ua/tv/pult-dlja-sanyo-rc-700</v>
      </c>
    </row>
    <row r="708" spans="1:8" s="18" customFormat="1" ht="15" customHeight="1">
      <c r="A708" s="39">
        <v>3858</v>
      </c>
      <c r="B708" s="26" t="s">
        <v>1374</v>
      </c>
      <c r="C708" s="13" t="s">
        <v>14</v>
      </c>
      <c r="D708" s="14"/>
      <c r="E708" s="9">
        <v>93.8</v>
      </c>
      <c r="F708" s="9">
        <f t="shared" si="25"/>
        <v>0</v>
      </c>
      <c r="G708" s="13"/>
      <c r="H708" s="14" t="str">
        <f>HYPERLINK("https://pulti.ua/tv/pult-dlja-saturn-24mf")</f>
        <v>https://pulti.ua/tv/pult-dlja-saturn-24mf</v>
      </c>
    </row>
    <row r="709" spans="1:8" s="18" customFormat="1" ht="15" customHeight="1">
      <c r="A709" s="39">
        <v>3846</v>
      </c>
      <c r="B709" s="26" t="s">
        <v>657</v>
      </c>
      <c r="C709" s="13" t="s">
        <v>14</v>
      </c>
      <c r="D709" s="14"/>
      <c r="E709" s="9">
        <v>101.3</v>
      </c>
      <c r="F709" s="9">
        <f t="shared" si="25"/>
        <v>0</v>
      </c>
      <c r="G709" s="13"/>
      <c r="H709" s="14" t="str">
        <f>HYPERLINK("https://pulti.ua/tv/pult-dlja-saturn-32hd300u")</f>
        <v>https://pulti.ua/tv/pult-dlja-saturn-32hd300u</v>
      </c>
    </row>
    <row r="710" spans="1:8" s="18" customFormat="1" ht="15" customHeight="1">
      <c r="A710" s="39">
        <v>3867</v>
      </c>
      <c r="B710" s="26" t="s">
        <v>658</v>
      </c>
      <c r="C710" s="13" t="s">
        <v>14</v>
      </c>
      <c r="D710" s="14"/>
      <c r="E710" s="9">
        <v>86.3</v>
      </c>
      <c r="F710" s="9">
        <f t="shared" si="25"/>
        <v>0</v>
      </c>
      <c r="G710" s="13"/>
      <c r="H710" s="14" t="str">
        <f>HYPERLINK("https://pulti.ua/tv/pult-dlja-saturn-32hd400u")</f>
        <v>https://pulti.ua/tv/pult-dlja-saturn-32hd400u</v>
      </c>
    </row>
    <row r="711" spans="1:8" s="18" customFormat="1" ht="15" customHeight="1">
      <c r="A711" s="39">
        <v>4029</v>
      </c>
      <c r="B711" s="26" t="s">
        <v>659</v>
      </c>
      <c r="C711" s="13" t="s">
        <v>14</v>
      </c>
      <c r="D711" s="14"/>
      <c r="E711" s="9">
        <v>82.5</v>
      </c>
      <c r="F711" s="9">
        <f t="shared" si="25"/>
        <v>0</v>
      </c>
      <c r="G711" s="13"/>
      <c r="H711" s="14" t="str">
        <f>HYPERLINK("https://pulti.ua/tv/pult-dlja-saturn-40fhd700u-t2")</f>
        <v>https://pulti.ua/tv/pult-dlja-saturn-40fhd700u-t2</v>
      </c>
    </row>
    <row r="712" spans="1:8" s="18" customFormat="1" ht="15" customHeight="1">
      <c r="A712" s="39">
        <v>3597</v>
      </c>
      <c r="B712" s="26" t="s">
        <v>660</v>
      </c>
      <c r="C712" s="13" t="s">
        <v>14</v>
      </c>
      <c r="D712" s="14"/>
      <c r="E712" s="9">
        <v>67.5</v>
      </c>
      <c r="F712" s="9">
        <f t="shared" si="25"/>
        <v>0</v>
      </c>
      <c r="G712" s="13"/>
      <c r="H712" s="14" t="str">
        <f>HYPERLINK("https://pulti.ua/tv/pult-dlja-saturn-at025")</f>
        <v>https://pulti.ua/tv/pult-dlja-saturn-at025</v>
      </c>
    </row>
    <row r="713" spans="1:8" s="18" customFormat="1" ht="15" customHeight="1">
      <c r="A713" s="39">
        <v>3284</v>
      </c>
      <c r="B713" s="26" t="s">
        <v>661</v>
      </c>
      <c r="C713" s="13" t="s">
        <v>22</v>
      </c>
      <c r="D713" s="14"/>
      <c r="E713" s="9">
        <v>66.8</v>
      </c>
      <c r="F713" s="9">
        <f t="shared" si="25"/>
        <v>0</v>
      </c>
      <c r="G713" s="13"/>
      <c r="H713" s="14" t="str">
        <f>HYPERLINK("https://pulti.ua/tv/pult-dlja-saturn-lcd-267")</f>
        <v>https://pulti.ua/tv/pult-dlja-saturn-lcd-267</v>
      </c>
    </row>
    <row r="714" spans="1:8" s="18" customFormat="1" ht="15" customHeight="1">
      <c r="A714" s="11">
        <v>3986</v>
      </c>
      <c r="B714" s="12" t="s">
        <v>662</v>
      </c>
      <c r="C714" s="13" t="s">
        <v>22</v>
      </c>
      <c r="D714" s="14"/>
      <c r="E714" s="9">
        <v>52.5</v>
      </c>
      <c r="F714" s="9">
        <f t="shared" si="25"/>
        <v>0</v>
      </c>
      <c r="G714" s="13"/>
      <c r="H714" s="14" t="str">
        <f>HYPERLINK("https://pulti.ua/tv/pult-dlja-saturn-lcd322")</f>
        <v>https://pulti.ua/tv/pult-dlja-saturn-lcd322</v>
      </c>
    </row>
    <row r="715" spans="1:8" s="18" customFormat="1" ht="15" customHeight="1">
      <c r="A715" s="39">
        <v>3145</v>
      </c>
      <c r="B715" s="26" t="s">
        <v>663</v>
      </c>
      <c r="C715" s="13" t="s">
        <v>22</v>
      </c>
      <c r="D715" s="14"/>
      <c r="E715" s="9">
        <v>61.9</v>
      </c>
      <c r="F715" s="9">
        <f t="shared" si="25"/>
        <v>0</v>
      </c>
      <c r="G715" s="13"/>
      <c r="H715" s="14" t="str">
        <f>HYPERLINK("https://pulti.ua/tv/pult-dlja-saturn-lcd-322")</f>
        <v>https://pulti.ua/tv/pult-dlja-saturn-lcd-322</v>
      </c>
    </row>
    <row r="716" spans="1:8" s="18" customFormat="1" ht="15" customHeight="1">
      <c r="A716" s="39">
        <v>3598</v>
      </c>
      <c r="B716" s="26" t="s">
        <v>664</v>
      </c>
      <c r="C716" s="13" t="s">
        <v>14</v>
      </c>
      <c r="D716" s="14"/>
      <c r="E716" s="9">
        <v>86.3</v>
      </c>
      <c r="F716" s="9">
        <f t="shared" si="25"/>
        <v>0</v>
      </c>
      <c r="G716" s="13"/>
      <c r="H716" s="14" t="str">
        <f>HYPERLINK("https://pulti.ua/tv/pult-dlja-saturn-led19c-led32c")</f>
        <v>https://pulti.ua/tv/pult-dlja-saturn-led19c-led32c</v>
      </c>
    </row>
    <row r="717" spans="1:8" s="18" customFormat="1" ht="15" customHeight="1">
      <c r="A717" s="39">
        <v>3657</v>
      </c>
      <c r="B717" s="26" t="s">
        <v>665</v>
      </c>
      <c r="C717" s="13" t="s">
        <v>14</v>
      </c>
      <c r="D717" s="14"/>
      <c r="E717" s="9">
        <v>97.5</v>
      </c>
      <c r="F717" s="9">
        <f t="shared" si="25"/>
        <v>0</v>
      </c>
      <c r="G717" s="13"/>
      <c r="H717" s="14" t="str">
        <f>HYPERLINK("https://pulti.ua/tv/pult-dlja-saturn-led201-supra-rc21b")</f>
        <v>https://pulti.ua/tv/pult-dlja-saturn-led201-supra-rc21b</v>
      </c>
    </row>
    <row r="718" spans="1:8" s="18" customFormat="1" ht="15" customHeight="1">
      <c r="A718" s="39">
        <v>3144</v>
      </c>
      <c r="B718" s="26" t="s">
        <v>666</v>
      </c>
      <c r="C718" s="13" t="s">
        <v>14</v>
      </c>
      <c r="D718" s="14"/>
      <c r="E718" s="9">
        <v>65.6</v>
      </c>
      <c r="F718" s="9">
        <f t="shared" si="25"/>
        <v>0</v>
      </c>
      <c r="G718" s="13"/>
      <c r="H718" s="14" t="str">
        <f>HYPERLINK("https://pulti.ua/tv/pult-dlja-saturn-led-321")</f>
        <v>https://pulti.ua/tv/pult-dlja-saturn-led-321</v>
      </c>
    </row>
    <row r="719" spans="1:8" s="18" customFormat="1" ht="15" customHeight="1">
      <c r="A719" s="39">
        <v>3868</v>
      </c>
      <c r="B719" s="26" t="s">
        <v>667</v>
      </c>
      <c r="C719" s="13" t="s">
        <v>14</v>
      </c>
      <c r="D719" s="14"/>
      <c r="E719" s="9">
        <v>86.3</v>
      </c>
      <c r="F719" s="9">
        <f t="shared" si="25"/>
        <v>0</v>
      </c>
      <c r="G719" s="13"/>
      <c r="H719" s="14" t="str">
        <f>HYPERLINK("https://pulti.ua/tv/pult-dlja-saturn-led40fhd500u")</f>
        <v>https://pulti.ua/tv/pult-dlja-saturn-led40fhd500u</v>
      </c>
    </row>
    <row r="720" spans="1:8" s="18" customFormat="1" ht="15" customHeight="1">
      <c r="A720" s="39">
        <v>3795</v>
      </c>
      <c r="B720" s="26" t="s">
        <v>668</v>
      </c>
      <c r="C720" s="13" t="s">
        <v>14</v>
      </c>
      <c r="D720" s="14"/>
      <c r="E720" s="9">
        <v>93.8</v>
      </c>
      <c r="F720" s="9">
        <f t="shared" si="25"/>
        <v>0</v>
      </c>
      <c r="G720" s="13"/>
      <c r="H720" s="14" t="str">
        <f>HYPERLINK("https://pulti.ua/tv/pult-dlja-saturn-led40nf-ic")</f>
        <v>https://pulti.ua/tv/pult-dlja-saturn-led40nf-ic</v>
      </c>
    </row>
    <row r="721" spans="1:8" s="18" customFormat="1" ht="15" customHeight="1">
      <c r="A721" s="39">
        <v>3813</v>
      </c>
      <c r="B721" s="26" t="s">
        <v>1375</v>
      </c>
      <c r="C721" s="13" t="s">
        <v>14</v>
      </c>
      <c r="D721" s="14"/>
      <c r="E721" s="9">
        <v>97.5</v>
      </c>
      <c r="F721" s="9">
        <f t="shared" si="25"/>
        <v>0</v>
      </c>
      <c r="G721" s="13"/>
      <c r="H721" s="14" t="str">
        <f>HYPERLINK("https://pulti.ua/tv/pult-dlja-saturn-led19c-lcd-322")</f>
        <v>https://pulti.ua/tv/pult-dlja-saturn-led19c-lcd-322</v>
      </c>
    </row>
    <row r="722" spans="1:8" s="18" customFormat="1" ht="15" customHeight="1">
      <c r="A722" s="11">
        <v>2754</v>
      </c>
      <c r="B722" s="12" t="s">
        <v>669</v>
      </c>
      <c r="C722" s="13" t="s">
        <v>11</v>
      </c>
      <c r="D722" s="14"/>
      <c r="E722" s="9">
        <v>63.8</v>
      </c>
      <c r="F722" s="9">
        <f t="shared" si="25"/>
        <v>0</v>
      </c>
      <c r="G722" s="13"/>
      <c r="H722" s="14" t="str">
        <f>HYPERLINK("https://pulti.ua/tv/pult-dlja-saturn-rc03s")</f>
        <v>https://pulti.ua/tv/pult-dlja-saturn-rc03s</v>
      </c>
    </row>
    <row r="723" spans="1:8" s="18" customFormat="1" ht="15" customHeight="1">
      <c r="A723" s="11">
        <v>2755</v>
      </c>
      <c r="B723" s="12" t="s">
        <v>670</v>
      </c>
      <c r="C723" s="13" t="s">
        <v>11</v>
      </c>
      <c r="D723" s="14"/>
      <c r="E723" s="9">
        <v>52.5</v>
      </c>
      <c r="F723" s="9">
        <f t="shared" si="25"/>
        <v>0</v>
      </c>
      <c r="G723" s="13"/>
      <c r="H723" s="14" t="str">
        <f>HYPERLINK("https://pulti.ua/tv/pult-dlja-saturn-rmb1x-thomson3")</f>
        <v>https://pulti.ua/tv/pult-dlja-saturn-rmb1x-thomson3</v>
      </c>
    </row>
    <row r="724" spans="1:8" s="18" customFormat="1" ht="15" customHeight="1">
      <c r="A724" s="11">
        <v>2758</v>
      </c>
      <c r="B724" s="12" t="s">
        <v>671</v>
      </c>
      <c r="C724" s="13" t="s">
        <v>11</v>
      </c>
      <c r="D724" s="14"/>
      <c r="E724" s="9">
        <v>63.8</v>
      </c>
      <c r="F724" s="9">
        <f t="shared" si="25"/>
        <v>0</v>
      </c>
      <c r="G724" s="13"/>
      <c r="H724" s="14" t="str">
        <f>HYPERLINK("https://pulti.ua/tv/pult-dlja-saturn-rmb1x-dvb")</f>
        <v>https://pulti.ua/tv/pult-dlja-saturn-rmb1x-dvb</v>
      </c>
    </row>
    <row r="725" spans="1:8" s="18" customFormat="1" ht="15" customHeight="1">
      <c r="A725" s="11">
        <v>2757</v>
      </c>
      <c r="B725" s="12" t="s">
        <v>672</v>
      </c>
      <c r="C725" s="13" t="s">
        <v>11</v>
      </c>
      <c r="D725" s="14"/>
      <c r="E725" s="9">
        <v>58.1</v>
      </c>
      <c r="F725" s="9">
        <f t="shared" si="25"/>
        <v>0</v>
      </c>
      <c r="G725" s="13"/>
      <c r="H725" s="14" t="str">
        <f>HYPERLINK("https://pulti.ua/tv/pult-dlja-saturn-rmb1x-scan")</f>
        <v>https://pulti.ua/tv/pult-dlja-saturn-rmb1x-scan</v>
      </c>
    </row>
    <row r="726" spans="1:8" s="18" customFormat="1" ht="15" customHeight="1">
      <c r="A726" s="11">
        <v>2756</v>
      </c>
      <c r="B726" s="12" t="s">
        <v>673</v>
      </c>
      <c r="C726" s="13" t="s">
        <v>11</v>
      </c>
      <c r="D726" s="14"/>
      <c r="E726" s="9">
        <v>63.8</v>
      </c>
      <c r="F726" s="9">
        <f t="shared" si="25"/>
        <v>0</v>
      </c>
      <c r="G726" s="13"/>
      <c r="H726" s="14" t="str">
        <f>HYPERLINK("https://pulti.ua/tv/pult-dlja-saturn-rmb1x2-surround")</f>
        <v>https://pulti.ua/tv/pult-dlja-saturn-rmb1x2-surround</v>
      </c>
    </row>
    <row r="727" spans="1:8" s="18" customFormat="1" ht="15" customHeight="1">
      <c r="A727" s="39">
        <v>2688</v>
      </c>
      <c r="B727" s="26" t="s">
        <v>674</v>
      </c>
      <c r="C727" s="13" t="s">
        <v>11</v>
      </c>
      <c r="D727" s="14"/>
      <c r="E727" s="9">
        <v>67.5</v>
      </c>
      <c r="F727" s="9">
        <f t="shared" si="25"/>
        <v>0</v>
      </c>
      <c r="G727" s="13"/>
      <c r="H727" s="14" t="str">
        <f>HYPERLINK("https://pulti.ua/tv/pult-dlja-saturn--st-tv")</f>
        <v>https://pulti.ua/tv/pult-dlja-saturn--st-tv</v>
      </c>
    </row>
    <row r="728" spans="1:8" s="18" customFormat="1" ht="15" customHeight="1">
      <c r="A728" s="11">
        <v>2506</v>
      </c>
      <c r="B728" s="12" t="s">
        <v>675</v>
      </c>
      <c r="C728" s="13" t="s">
        <v>11</v>
      </c>
      <c r="D728" s="14"/>
      <c r="E728" s="9">
        <v>56.3</v>
      </c>
      <c r="F728" s="9">
        <f t="shared" si="25"/>
        <v>0</v>
      </c>
      <c r="G728" s="13"/>
      <c r="H728" s="14" t="str">
        <f>HYPERLINK("https://pulti.ua/tv/pult-dlja-saturn-tv370")</f>
        <v>https://pulti.ua/tv/pult-dlja-saturn-tv370</v>
      </c>
    </row>
    <row r="729" spans="1:8" s="18" customFormat="1" ht="15" customHeight="1">
      <c r="A729" s="11">
        <v>1859</v>
      </c>
      <c r="B729" s="12" t="s">
        <v>676</v>
      </c>
      <c r="C729" s="13" t="s">
        <v>11</v>
      </c>
      <c r="D729" s="14"/>
      <c r="E729" s="9">
        <v>78.8</v>
      </c>
      <c r="F729" s="9">
        <f t="shared" si="25"/>
        <v>0</v>
      </c>
      <c r="G729" s="13"/>
      <c r="H729" s="14" t="str">
        <f>HYPERLINK("https://pulti.ua/tv/pult-dlja-sharp-11uk-12")</f>
        <v>https://pulti.ua/tv/pult-dlja-sharp-11uk-12</v>
      </c>
    </row>
    <row r="730" spans="1:8" s="18" customFormat="1" ht="15" customHeight="1">
      <c r="A730" s="11">
        <v>4599</v>
      </c>
      <c r="B730" s="12" t="s">
        <v>1376</v>
      </c>
      <c r="C730" s="13" t="s">
        <v>14</v>
      </c>
      <c r="D730" s="14"/>
      <c r="E730" s="9">
        <v>787.5</v>
      </c>
      <c r="F730" s="9">
        <f t="shared" si="25"/>
        <v>0</v>
      </c>
      <c r="G730" s="13"/>
      <c r="H730" s="14" t="str">
        <f>HYPERLINK("https://pulti.ua/tv/pult-dlya-sharp-aquos-s-mikrofonom")</f>
        <v>https://pulti.ua/tv/pult-dlya-sharp-aquos-s-mikrofonom</v>
      </c>
    </row>
    <row r="731" spans="1:8" s="18" customFormat="1" ht="15" customHeight="1">
      <c r="A731" s="39">
        <v>4348</v>
      </c>
      <c r="B731" s="26" t="s">
        <v>1377</v>
      </c>
      <c r="C731" s="13" t="s">
        <v>11</v>
      </c>
      <c r="D731" s="14"/>
      <c r="E731" s="9">
        <v>41.3</v>
      </c>
      <c r="F731" s="9">
        <f t="shared" si="25"/>
        <v>0</v>
      </c>
      <c r="G731" s="13"/>
      <c r="H731" s="14" t="str">
        <f>HYPERLINK("https://pulti.ua/tv/pult-dlya-sharp-g0018kj")</f>
        <v>https://pulti.ua/tv/pult-dlya-sharp-g0018kj</v>
      </c>
    </row>
    <row r="732" spans="1:8" s="18" customFormat="1" ht="15" customHeight="1">
      <c r="A732" s="11">
        <v>1860</v>
      </c>
      <c r="B732" s="12" t="s">
        <v>677</v>
      </c>
      <c r="C732" s="13" t="s">
        <v>11</v>
      </c>
      <c r="D732" s="14"/>
      <c r="E732" s="9">
        <v>60</v>
      </c>
      <c r="F732" s="9">
        <f t="shared" si="25"/>
        <v>0</v>
      </c>
      <c r="G732" s="13"/>
      <c r="H732" s="14" t="str">
        <f>HYPERLINK("https://pulti.ua/tv/pult-dlja-sharp-g0756ce")</f>
        <v>https://pulti.ua/tv/pult-dlja-sharp-g0756ce</v>
      </c>
    </row>
    <row r="733" spans="1:8" s="18" customFormat="1" ht="15" customHeight="1">
      <c r="A733" s="11">
        <v>1861</v>
      </c>
      <c r="B733" s="12" t="s">
        <v>678</v>
      </c>
      <c r="C733" s="13" t="s">
        <v>11</v>
      </c>
      <c r="D733" s="14"/>
      <c r="E733" s="9">
        <v>60</v>
      </c>
      <c r="F733" s="9">
        <f t="shared" si="25"/>
        <v>0</v>
      </c>
      <c r="G733" s="13"/>
      <c r="H733" s="14" t="str">
        <f>HYPERLINK("https://pulti.ua/tv/pult-dlja-sharp-g0764-pe")</f>
        <v>https://pulti.ua/tv/pult-dlja-sharp-g0764-pe</v>
      </c>
    </row>
    <row r="734" spans="1:8" s="18" customFormat="1" ht="15" customHeight="1">
      <c r="A734" s="11">
        <v>1870</v>
      </c>
      <c r="B734" s="12" t="s">
        <v>679</v>
      </c>
      <c r="C734" s="13" t="s">
        <v>11</v>
      </c>
      <c r="D734" s="14"/>
      <c r="E734" s="9">
        <v>67.5</v>
      </c>
      <c r="F734" s="9">
        <f t="shared" si="25"/>
        <v>0</v>
      </c>
      <c r="G734" s="13"/>
      <c r="H734" s="14" t="str">
        <f>HYPERLINK("https://pulti.ua/tv/pult-dlja-sharp-g1069pesa")</f>
        <v>https://pulti.ua/tv/pult-dlja-sharp-g1069pesa</v>
      </c>
    </row>
    <row r="735" spans="1:8" s="18" customFormat="1" ht="15" customHeight="1">
      <c r="A735" s="11">
        <v>1871</v>
      </c>
      <c r="B735" s="12" t="s">
        <v>680</v>
      </c>
      <c r="C735" s="13" t="s">
        <v>11</v>
      </c>
      <c r="D735" s="14"/>
      <c r="E735" s="9">
        <v>48.8</v>
      </c>
      <c r="F735" s="9">
        <f t="shared" si="25"/>
        <v>0</v>
      </c>
      <c r="G735" s="13"/>
      <c r="H735" s="14" t="str">
        <f>HYPERLINK("https://pulti.ua/tv/pult-dlja-sharp-g1077pesa")</f>
        <v>https://pulti.ua/tv/pult-dlja-sharp-g1077pesa</v>
      </c>
    </row>
    <row r="736" spans="1:8" s="18" customFormat="1" ht="15" customHeight="1">
      <c r="A736" s="11">
        <v>1872</v>
      </c>
      <c r="B736" s="12" t="s">
        <v>681</v>
      </c>
      <c r="C736" s="13" t="s">
        <v>11</v>
      </c>
      <c r="D736" s="14"/>
      <c r="E736" s="9">
        <v>33.8</v>
      </c>
      <c r="F736" s="9">
        <f t="shared" si="25"/>
        <v>0</v>
      </c>
      <c r="G736" s="13"/>
      <c r="H736" s="14" t="str">
        <f>HYPERLINK("https://pulti.ua/tv/pult-dlja-sharp-g1084pesa")</f>
        <v>https://pulti.ua/tv/pult-dlja-sharp-g1084pesa</v>
      </c>
    </row>
    <row r="737" spans="1:8" s="18" customFormat="1" ht="15" customHeight="1">
      <c r="A737" s="11">
        <v>1873</v>
      </c>
      <c r="B737" s="12" t="s">
        <v>682</v>
      </c>
      <c r="C737" s="13" t="s">
        <v>11</v>
      </c>
      <c r="D737" s="14"/>
      <c r="E737" s="9">
        <v>33.8</v>
      </c>
      <c r="F737" s="9">
        <f t="shared" si="25"/>
        <v>0</v>
      </c>
      <c r="G737" s="13"/>
      <c r="H737" s="14" t="str">
        <f>HYPERLINK("https://pulti.ua/tv/pult-dlja-sharp-g1085pesa")</f>
        <v>https://pulti.ua/tv/pult-dlja-sharp-g1085pesa</v>
      </c>
    </row>
    <row r="738" spans="1:8" s="18" customFormat="1" ht="15" customHeight="1">
      <c r="A738" s="11">
        <v>1875</v>
      </c>
      <c r="B738" s="12" t="s">
        <v>683</v>
      </c>
      <c r="C738" s="13" t="s">
        <v>11</v>
      </c>
      <c r="D738" s="14"/>
      <c r="E738" s="9">
        <v>54.4</v>
      </c>
      <c r="F738" s="9">
        <f t="shared" si="25"/>
        <v>0</v>
      </c>
      <c r="G738" s="13"/>
      <c r="H738" s="14" t="str">
        <f>HYPERLINK("https://pulti.ua/tv/pult-dlja-sharp-g1133pesa")</f>
        <v>https://pulti.ua/tv/pult-dlja-sharp-g1133pesa</v>
      </c>
    </row>
    <row r="739" spans="1:8" s="18" customFormat="1" ht="15" customHeight="1">
      <c r="A739" s="39">
        <v>3631</v>
      </c>
      <c r="B739" s="26" t="s">
        <v>684</v>
      </c>
      <c r="C739" s="13" t="s">
        <v>11</v>
      </c>
      <c r="D739" s="14"/>
      <c r="E739" s="9">
        <v>63.8</v>
      </c>
      <c r="F739" s="9">
        <f t="shared" si="25"/>
        <v>0</v>
      </c>
      <c r="G739" s="13"/>
      <c r="H739" s="14" t="str">
        <f>HYPERLINK("https://pulti.ua/tv/pult-dlja-sharp-g1133pesa-ic")</f>
        <v>https://pulti.ua/tv/pult-dlja-sharp-g1133pesa-ic</v>
      </c>
    </row>
    <row r="740" spans="1:8" s="18" customFormat="1" ht="15" customHeight="1">
      <c r="A740" s="11">
        <v>1876</v>
      </c>
      <c r="B740" s="12" t="s">
        <v>685</v>
      </c>
      <c r="C740" s="13" t="s">
        <v>11</v>
      </c>
      <c r="D740" s="14"/>
      <c r="E740" s="9">
        <v>56.3</v>
      </c>
      <c r="F740" s="9">
        <f t="shared" si="25"/>
        <v>0</v>
      </c>
      <c r="G740" s="13"/>
      <c r="H740" s="14" t="str">
        <f>HYPERLINK("https://pulti.ua/tv/pult-dlja-sharp-g1169pesa")</f>
        <v>https://pulti.ua/tv/pult-dlja-sharp-g1169pesa</v>
      </c>
    </row>
    <row r="741" spans="1:8" s="18" customFormat="1" ht="15" customHeight="1">
      <c r="A741" s="39">
        <v>1877</v>
      </c>
      <c r="B741" s="26" t="s">
        <v>686</v>
      </c>
      <c r="C741" s="13" t="s">
        <v>22</v>
      </c>
      <c r="D741" s="14"/>
      <c r="E741" s="9">
        <v>120</v>
      </c>
      <c r="F741" s="9">
        <f t="shared" si="25"/>
        <v>0</v>
      </c>
      <c r="G741" s="13"/>
      <c r="H741" s="14" t="str">
        <f>HYPERLINK("https://pulti.ua/tv/pult-dlja-sharp-g1170pesa")</f>
        <v>https://pulti.ua/tv/pult-dlja-sharp-g1170pesa</v>
      </c>
    </row>
    <row r="742" spans="1:8" s="18" customFormat="1" ht="15" customHeight="1">
      <c r="A742" s="11">
        <v>1879</v>
      </c>
      <c r="B742" s="12" t="s">
        <v>687</v>
      </c>
      <c r="C742" s="13" t="s">
        <v>11</v>
      </c>
      <c r="D742" s="14"/>
      <c r="E742" s="9">
        <v>151.9</v>
      </c>
      <c r="F742" s="9">
        <f t="shared" si="25"/>
        <v>0</v>
      </c>
      <c r="G742" s="13"/>
      <c r="H742" s="14" t="str">
        <f>HYPERLINK("https://pulti.ua/tv/pult-dlja-sharp-g1325sa")</f>
        <v>https://pulti.ua/tv/pult-dlja-sharp-g1325sa</v>
      </c>
    </row>
    <row r="743" spans="1:8" s="18" customFormat="1" ht="15" customHeight="1">
      <c r="A743" s="11">
        <v>1880</v>
      </c>
      <c r="B743" s="12" t="s">
        <v>688</v>
      </c>
      <c r="C743" s="13" t="s">
        <v>11</v>
      </c>
      <c r="D743" s="14"/>
      <c r="E743" s="9">
        <v>54.4</v>
      </c>
      <c r="F743" s="9">
        <f t="shared" si="25"/>
        <v>0</v>
      </c>
      <c r="G743" s="13"/>
      <c r="H743" s="14" t="str">
        <f>HYPERLINK("https://pulti.ua/tv/pult-dlja-sharp-g1342sa")</f>
        <v>https://pulti.ua/tv/pult-dlja-sharp-g1342sa</v>
      </c>
    </row>
    <row r="744" spans="1:8" s="18" customFormat="1" ht="15" customHeight="1">
      <c r="A744" s="39">
        <v>1181</v>
      </c>
      <c r="B744" s="26" t="s">
        <v>689</v>
      </c>
      <c r="C744" s="13" t="s">
        <v>11</v>
      </c>
      <c r="D744" s="14"/>
      <c r="E744" s="9">
        <v>58.1</v>
      </c>
      <c r="F744" s="9">
        <f t="shared" si="25"/>
        <v>0</v>
      </c>
      <c r="G744" s="13"/>
      <c r="H744" s="14" t="str">
        <f>HYPERLINK("https://pulti.ua/tv/pult-dlja-sharp-g1342sa-ic")</f>
        <v>https://pulti.ua/tv/pult-dlja-sharp-g1342sa-ic</v>
      </c>
    </row>
    <row r="745" spans="1:8" s="18" customFormat="1" ht="15" customHeight="1">
      <c r="A745" s="11">
        <v>1884</v>
      </c>
      <c r="B745" s="12" t="s">
        <v>690</v>
      </c>
      <c r="C745" s="13" t="s">
        <v>11</v>
      </c>
      <c r="D745" s="14"/>
      <c r="E745" s="9">
        <v>105</v>
      </c>
      <c r="F745" s="9">
        <f t="shared" si="25"/>
        <v>0</v>
      </c>
      <c r="G745" s="13"/>
      <c r="H745" s="14" t="str">
        <f>HYPERLINK("https://pulti.ua/tv/pult-dlja-sharp-g1388sa")</f>
        <v>https://pulti.ua/tv/pult-dlja-sharp-g1388sa</v>
      </c>
    </row>
    <row r="746" spans="1:8" s="18" customFormat="1" ht="15" customHeight="1">
      <c r="A746" s="39">
        <v>1886</v>
      </c>
      <c r="B746" s="26" t="s">
        <v>691</v>
      </c>
      <c r="C746" s="13" t="s">
        <v>11</v>
      </c>
      <c r="D746" s="14"/>
      <c r="E746" s="9">
        <v>90</v>
      </c>
      <c r="F746" s="9">
        <f t="shared" si="25"/>
        <v>0</v>
      </c>
      <c r="G746" s="13"/>
      <c r="H746" s="14" t="str">
        <f>HYPERLINK("https://pulti.ua/tv/pult-dlja-sharp-g1606sb")</f>
        <v>https://pulti.ua/tv/pult-dlja-sharp-g1606sb</v>
      </c>
    </row>
    <row r="747" spans="1:8" s="18" customFormat="1" ht="15" customHeight="1">
      <c r="A747" s="39">
        <v>1889</v>
      </c>
      <c r="B747" s="26" t="s">
        <v>692</v>
      </c>
      <c r="C747" s="13" t="s">
        <v>22</v>
      </c>
      <c r="D747" s="14"/>
      <c r="E747" s="9">
        <v>168.8</v>
      </c>
      <c r="F747" s="9">
        <f t="shared" si="25"/>
        <v>0</v>
      </c>
      <c r="G747" s="13"/>
      <c r="H747" s="14" t="str">
        <f>HYPERLINK("https://pulti.ua/tv/pult-dlja-sharp-ga074wjsa")</f>
        <v>https://pulti.ua/tv/pult-dlja-sharp-ga074wjsa</v>
      </c>
    </row>
    <row r="748" spans="1:8" s="18" customFormat="1" ht="15" customHeight="1">
      <c r="A748" s="39">
        <v>1890</v>
      </c>
      <c r="B748" s="26" t="s">
        <v>693</v>
      </c>
      <c r="C748" s="13" t="s">
        <v>22</v>
      </c>
      <c r="D748" s="14"/>
      <c r="E748" s="9">
        <v>48.8</v>
      </c>
      <c r="F748" s="9">
        <f t="shared" si="25"/>
        <v>0</v>
      </c>
      <c r="G748" s="13"/>
      <c r="H748" s="14" t="str">
        <f>HYPERLINK("https://pulti.ua/tv/pult-dlja-sharp-ga152wjsa")</f>
        <v>https://pulti.ua/tv/pult-dlja-sharp-ga152wjsa</v>
      </c>
    </row>
    <row r="749" spans="1:8" s="18" customFormat="1" ht="15" customHeight="1">
      <c r="A749" s="39">
        <v>1891</v>
      </c>
      <c r="B749" s="26" t="s">
        <v>694</v>
      </c>
      <c r="C749" s="13" t="s">
        <v>11</v>
      </c>
      <c r="D749" s="14"/>
      <c r="E749" s="9">
        <v>75</v>
      </c>
      <c r="F749" s="9">
        <f t="shared" si="25"/>
        <v>0</v>
      </c>
      <c r="G749" s="13"/>
      <c r="H749" s="14" t="str">
        <f>HYPERLINK("https://pulti.ua/tv/pult-dlja-sharp-ga296sa")</f>
        <v>https://pulti.ua/tv/pult-dlja-sharp-ga296sa</v>
      </c>
    </row>
    <row r="750" spans="1:8" s="18" customFormat="1" ht="15" customHeight="1">
      <c r="A750" s="39">
        <v>1892</v>
      </c>
      <c r="B750" s="26" t="s">
        <v>1378</v>
      </c>
      <c r="C750" s="13" t="s">
        <v>11</v>
      </c>
      <c r="D750" s="14"/>
      <c r="E750" s="9">
        <v>75</v>
      </c>
      <c r="F750" s="9">
        <f t="shared" si="25"/>
        <v>0</v>
      </c>
      <c r="G750" s="13"/>
      <c r="H750" s="14" t="str">
        <f>HYPERLINK("https://pulti.ua/tv/pult-dlja-sharp-ga296sb")</f>
        <v>https://pulti.ua/tv/pult-dlja-sharp-ga296sb</v>
      </c>
    </row>
    <row r="751" spans="1:8" s="18" customFormat="1" ht="15" customHeight="1">
      <c r="A751" s="39">
        <v>3253</v>
      </c>
      <c r="B751" s="26" t="s">
        <v>695</v>
      </c>
      <c r="C751" s="13" t="s">
        <v>11</v>
      </c>
      <c r="D751" s="14"/>
      <c r="E751" s="9">
        <v>93.8</v>
      </c>
      <c r="F751" s="9">
        <f t="shared" si="25"/>
        <v>0</v>
      </c>
      <c r="G751" s="13"/>
      <c r="H751" s="14" t="str">
        <f>HYPERLINK("https://pulti.ua/tv/pult-dlja-sharp-ga307sa")</f>
        <v>https://pulti.ua/tv/pult-dlja-sharp-ga307sa</v>
      </c>
    </row>
    <row r="752" spans="1:8" s="18" customFormat="1" ht="15" customHeight="1">
      <c r="A752" s="39">
        <v>1894</v>
      </c>
      <c r="B752" s="26" t="s">
        <v>696</v>
      </c>
      <c r="C752" s="13" t="s">
        <v>22</v>
      </c>
      <c r="D752" s="14"/>
      <c r="E752" s="9">
        <v>101.3</v>
      </c>
      <c r="F752" s="9">
        <f t="shared" si="25"/>
        <v>0</v>
      </c>
      <c r="G752" s="13"/>
      <c r="H752" s="14" t="str">
        <f>HYPERLINK("https://pulti.ua/tv/pult-dlja-sharp-ga339wjsa")</f>
        <v>https://pulti.ua/tv/pult-dlja-sharp-ga339wjsa</v>
      </c>
    </row>
    <row r="753" spans="1:8" s="18" customFormat="1" ht="15" customHeight="1">
      <c r="A753" s="39">
        <v>1895</v>
      </c>
      <c r="B753" s="26" t="s">
        <v>697</v>
      </c>
      <c r="C753" s="13" t="s">
        <v>11</v>
      </c>
      <c r="D753" s="14"/>
      <c r="E753" s="9">
        <v>120</v>
      </c>
      <c r="F753" s="9">
        <f t="shared" si="25"/>
        <v>0</v>
      </c>
      <c r="G753" s="13"/>
      <c r="H753" s="14" t="str">
        <f>HYPERLINK("https://pulti.ua/tv/pult-dlja-sharp-ga372sa")</f>
        <v>https://pulti.ua/tv/pult-dlja-sharp-ga372sa</v>
      </c>
    </row>
    <row r="754" spans="1:8" s="18" customFormat="1" ht="15" customHeight="1">
      <c r="A754" s="39">
        <v>1897</v>
      </c>
      <c r="B754" s="26" t="s">
        <v>698</v>
      </c>
      <c r="C754" s="13" t="s">
        <v>22</v>
      </c>
      <c r="D754" s="14"/>
      <c r="E754" s="9">
        <v>187.5</v>
      </c>
      <c r="F754" s="9">
        <f t="shared" si="25"/>
        <v>0</v>
      </c>
      <c r="G754" s="13"/>
      <c r="H754" s="14" t="str">
        <f>HYPERLINK("https://pulti.ua/tv/pult-dlja-sharp-ga411wj")</f>
        <v>https://pulti.ua/tv/pult-dlja-sharp-ga411wj</v>
      </c>
    </row>
    <row r="755" spans="1:8" s="18" customFormat="1" ht="15" customHeight="1">
      <c r="A755" s="39">
        <v>1902</v>
      </c>
      <c r="B755" s="26" t="s">
        <v>699</v>
      </c>
      <c r="C755" s="13" t="s">
        <v>22</v>
      </c>
      <c r="D755" s="14"/>
      <c r="E755" s="9">
        <v>67.5</v>
      </c>
      <c r="F755" s="9">
        <f t="shared" si="25"/>
        <v>0</v>
      </c>
      <c r="G755" s="13"/>
      <c r="H755" s="14" t="str">
        <f>HYPERLINK("https://pulti.ua/tv/pult-dlja-sharp-ga574wjsa")</f>
        <v>https://pulti.ua/tv/pult-dlja-sharp-ga574wjsa</v>
      </c>
    </row>
    <row r="756" spans="1:8" s="18" customFormat="1" ht="15" customHeight="1">
      <c r="A756" s="39">
        <v>2885</v>
      </c>
      <c r="B756" s="26" t="s">
        <v>700</v>
      </c>
      <c r="C756" s="13" t="s">
        <v>22</v>
      </c>
      <c r="D756" s="14"/>
      <c r="E756" s="9">
        <v>105</v>
      </c>
      <c r="F756" s="9">
        <f t="shared" si="25"/>
        <v>0</v>
      </c>
      <c r="G756" s="13"/>
      <c r="H756" s="14" t="str">
        <f>HYPERLINK("https://pulti.ua/tv/pult-dlja-sharp-ga779wjsa")</f>
        <v>https://pulti.ua/tv/pult-dlja-sharp-ga779wjsa</v>
      </c>
    </row>
    <row r="757" spans="1:8" s="18" customFormat="1" ht="15" customHeight="1">
      <c r="A757" s="39">
        <v>3559</v>
      </c>
      <c r="B757" s="26" t="s">
        <v>701</v>
      </c>
      <c r="C757" s="13" t="s">
        <v>14</v>
      </c>
      <c r="D757" s="14"/>
      <c r="E757" s="9">
        <v>90</v>
      </c>
      <c r="F757" s="9">
        <f t="shared" si="25"/>
        <v>0</v>
      </c>
      <c r="G757" s="13"/>
      <c r="H757" s="14" t="str">
        <f>HYPERLINK("https://pulti.ua/tv/pult-dlja-sharp-ga983wjsa-3d")</f>
        <v>https://pulti.ua/tv/pult-dlja-sharp-ga983wjsa-3d</v>
      </c>
    </row>
    <row r="758" spans="1:8" s="18" customFormat="1" ht="15" customHeight="1">
      <c r="A758" s="39">
        <v>3710</v>
      </c>
      <c r="B758" s="26" t="s">
        <v>702</v>
      </c>
      <c r="C758" s="13" t="s">
        <v>14</v>
      </c>
      <c r="D758" s="14"/>
      <c r="E758" s="9">
        <v>243.8</v>
      </c>
      <c r="F758" s="9">
        <f t="shared" si="25"/>
        <v>0</v>
      </c>
      <c r="G758" s="13"/>
      <c r="H758" s="14" t="str">
        <f>HYPERLINK("https://pulti.ua/tv/pult-dlja-sharp-gb012wjsa-3d-ic")</f>
        <v>https://pulti.ua/tv/pult-dlja-sharp-gb012wjsa-3d-ic</v>
      </c>
    </row>
    <row r="759" spans="1:8" s="18" customFormat="1" ht="15" customHeight="1">
      <c r="A759" s="39">
        <v>3711</v>
      </c>
      <c r="B759" s="26" t="s">
        <v>703</v>
      </c>
      <c r="C759" s="13" t="s">
        <v>14</v>
      </c>
      <c r="D759" s="14"/>
      <c r="E759" s="9">
        <v>206.3</v>
      </c>
      <c r="F759" s="9">
        <f t="shared" si="25"/>
        <v>0</v>
      </c>
      <c r="G759" s="13"/>
      <c r="H759" s="14" t="str">
        <f>HYPERLINK("https://pulti.ua/tv/pult-dlja-sharp-gb067wjsa-3d-ic")</f>
        <v>https://pulti.ua/tv/pult-dlja-sharp-gb067wjsa-3d-ic</v>
      </c>
    </row>
    <row r="760" spans="1:8" s="18" customFormat="1" ht="15" customHeight="1">
      <c r="A760" s="39">
        <v>4027</v>
      </c>
      <c r="B760" s="26" t="s">
        <v>704</v>
      </c>
      <c r="C760" s="13" t="s">
        <v>14</v>
      </c>
      <c r="D760" s="14"/>
      <c r="E760" s="9">
        <v>86.3</v>
      </c>
      <c r="F760" s="9">
        <f t="shared" si="25"/>
        <v>0</v>
      </c>
      <c r="G760" s="13"/>
      <c r="H760" s="14" t="str">
        <f>HYPERLINK("https://pulti.ua/tv/pult-dlja-sharp-lc-32che4040e")</f>
        <v>https://pulti.ua/tv/pult-dlja-sharp-lc-32che4040e</v>
      </c>
    </row>
    <row r="761" spans="1:8" s="18" customFormat="1" ht="15" customHeight="1">
      <c r="A761" s="39">
        <v>3254</v>
      </c>
      <c r="B761" s="26" t="s">
        <v>705</v>
      </c>
      <c r="C761" s="13" t="s">
        <v>22</v>
      </c>
      <c r="D761" s="14"/>
      <c r="E761" s="9">
        <v>73.1</v>
      </c>
      <c r="F761" s="9">
        <f t="shared" si="25"/>
        <v>0</v>
      </c>
      <c r="G761" s="13"/>
      <c r="H761" s="14" t="str">
        <f>HYPERLINK("https://pulti.ua/tv/pult-dlja-sharp-lcdtv-gj210-ic")</f>
        <v>https://pulti.ua/tv/pult-dlja-sharp-lcdtv-gj210-ic</v>
      </c>
    </row>
    <row r="762" spans="1:8" s="18" customFormat="1" ht="15" customHeight="1">
      <c r="A762" s="11">
        <v>4285</v>
      </c>
      <c r="B762" s="12" t="s">
        <v>706</v>
      </c>
      <c r="C762" s="13" t="s">
        <v>14</v>
      </c>
      <c r="D762" s="14"/>
      <c r="E762" s="9">
        <v>57</v>
      </c>
      <c r="F762" s="9">
        <f t="shared" si="25"/>
        <v>0</v>
      </c>
      <c r="G762" s="13"/>
      <c r="H762" s="14" t="str">
        <f>HYPERLINK("https://pulti.ua/tv/pult-dlya-sharp-rc-1910")</f>
        <v>https://pulti.ua/tv/pult-dlya-sharp-rc-1910</v>
      </c>
    </row>
    <row r="763" spans="1:8" s="18" customFormat="1" ht="15" customHeight="1">
      <c r="A763" s="39">
        <v>3031</v>
      </c>
      <c r="B763" s="26" t="s">
        <v>707</v>
      </c>
      <c r="C763" s="13" t="s">
        <v>14</v>
      </c>
      <c r="D763" s="15" t="s">
        <v>1314</v>
      </c>
      <c r="E763" s="9">
        <v>71.3</v>
      </c>
      <c r="F763" s="9"/>
      <c r="G763" s="13"/>
      <c r="H763" s="14" t="str">
        <f>HYPERLINK("https://pulti.ua/tv/pult-dlja-sharp-rc-1910")</f>
        <v>https://pulti.ua/tv/pult-dlja-sharp-rc-1910</v>
      </c>
    </row>
    <row r="764" spans="1:8" s="18" customFormat="1" ht="15" customHeight="1">
      <c r="A764" s="39">
        <v>3857</v>
      </c>
      <c r="B764" s="26" t="s">
        <v>708</v>
      </c>
      <c r="C764" s="13" t="s">
        <v>14</v>
      </c>
      <c r="D764" s="14"/>
      <c r="E764" s="9">
        <v>97.5</v>
      </c>
      <c r="F764" s="9">
        <f aca="true" t="shared" si="26" ref="F764:F796">D764*E764</f>
        <v>0</v>
      </c>
      <c r="G764" s="13"/>
      <c r="H764" s="14" t="str">
        <f>HYPERLINK("https://pulti.ua/tv/pult-dlja-sharp-rc1912")</f>
        <v>https://pulti.ua/tv/pult-dlja-sharp-rc1912</v>
      </c>
    </row>
    <row r="765" spans="1:8" s="18" customFormat="1" ht="15" customHeight="1">
      <c r="A765" s="39">
        <v>3912</v>
      </c>
      <c r="B765" s="26" t="s">
        <v>709</v>
      </c>
      <c r="C765" s="13" t="s">
        <v>14</v>
      </c>
      <c r="D765" s="14"/>
      <c r="E765" s="9">
        <v>112.5</v>
      </c>
      <c r="F765" s="9">
        <f t="shared" si="26"/>
        <v>0</v>
      </c>
      <c r="G765" s="13"/>
      <c r="H765" s="14" t="str">
        <f>HYPERLINK("https://pulti.ua/tv/pult-dlja-sharp-rc-5112")</f>
        <v>https://pulti.ua/tv/pult-dlja-sharp-rc-5112</v>
      </c>
    </row>
    <row r="766" spans="1:8" s="18" customFormat="1" ht="15" customHeight="1">
      <c r="A766" s="39">
        <v>3712</v>
      </c>
      <c r="B766" s="26" t="s">
        <v>710</v>
      </c>
      <c r="C766" s="13" t="s">
        <v>22</v>
      </c>
      <c r="D766" s="14"/>
      <c r="E766" s="9">
        <v>82.5</v>
      </c>
      <c r="F766" s="9">
        <f t="shared" si="26"/>
        <v>0</v>
      </c>
      <c r="G766" s="13"/>
      <c r="H766" s="14" t="str">
        <f>HYPERLINK("https://pulti.ua/tv/pult-dlja-sharp-lcd-tv-rl57s-ic")</f>
        <v>https://pulti.ua/tv/pult-dlja-sharp-lcd-tv-rl57s-ic</v>
      </c>
    </row>
    <row r="767" spans="1:8" s="18" customFormat="1" ht="15" customHeight="1">
      <c r="A767" s="42">
        <v>4839</v>
      </c>
      <c r="B767" s="43" t="s">
        <v>711</v>
      </c>
      <c r="C767" s="13" t="s">
        <v>14</v>
      </c>
      <c r="D767" s="14"/>
      <c r="E767" s="9">
        <v>187.5</v>
      </c>
      <c r="F767" s="9">
        <f t="shared" si="26"/>
        <v>0</v>
      </c>
      <c r="G767" s="13"/>
      <c r="H767" s="14" t="str">
        <f>HYPERLINK("https://pulti.ua/tv/pult-dlya-sharp-shwrmc0115-hq-netflix-youtube")</f>
        <v>https://pulti.ua/tv/pult-dlya-sharp-shwrmc0115-hq-netflix-youtube</v>
      </c>
    </row>
    <row r="768" spans="1:8" s="18" customFormat="1" ht="15" customHeight="1">
      <c r="A768" s="39">
        <v>3319</v>
      </c>
      <c r="B768" s="26" t="s">
        <v>712</v>
      </c>
      <c r="C768" s="13" t="s">
        <v>14</v>
      </c>
      <c r="D768" s="14"/>
      <c r="E768" s="9">
        <v>206.3</v>
      </c>
      <c r="F768" s="9">
        <f t="shared" si="26"/>
        <v>0</v>
      </c>
      <c r="G768" s="13"/>
      <c r="H768" s="14" t="str">
        <f>HYPERLINK("https://pulti.ua/tv/pult-dlja-shivaki-bt0534")</f>
        <v>https://pulti.ua/tv/pult-dlja-shivaki-bt0534</v>
      </c>
    </row>
    <row r="769" spans="1:8" s="18" customFormat="1" ht="15" customHeight="1">
      <c r="A769" s="11">
        <v>1912</v>
      </c>
      <c r="B769" s="12" t="s">
        <v>713</v>
      </c>
      <c r="C769" s="13" t="s">
        <v>11</v>
      </c>
      <c r="D769" s="14"/>
      <c r="E769" s="9">
        <v>60</v>
      </c>
      <c r="F769" s="9">
        <f t="shared" si="26"/>
        <v>0</v>
      </c>
      <c r="G769" s="13"/>
      <c r="H769" s="14" t="str">
        <f>HYPERLINK("https://pulti.ua/tv/pult-dlja-shivaki-hi-vision-stv-208")</f>
        <v>https://pulti.ua/tv/pult-dlja-shivaki-hi-vision-stv-208</v>
      </c>
    </row>
    <row r="770" spans="1:8" s="18" customFormat="1" ht="15" customHeight="1">
      <c r="A770" s="39">
        <v>1926</v>
      </c>
      <c r="B770" s="26" t="s">
        <v>714</v>
      </c>
      <c r="C770" s="13" t="s">
        <v>22</v>
      </c>
      <c r="D770" s="14"/>
      <c r="E770" s="9">
        <v>153.8</v>
      </c>
      <c r="F770" s="9">
        <f t="shared" si="26"/>
        <v>0</v>
      </c>
      <c r="G770" s="13"/>
      <c r="H770" s="14" t="str">
        <f>HYPERLINK("https://pulti.ua/tv/pult-dlja-shivaki-lcd-831")</f>
        <v>https://pulti.ua/tv/pult-dlja-shivaki-lcd-831</v>
      </c>
    </row>
    <row r="771" spans="1:8" s="18" customFormat="1" ht="15" customHeight="1">
      <c r="A771" s="39">
        <v>3169</v>
      </c>
      <c r="B771" s="26" t="s">
        <v>715</v>
      </c>
      <c r="C771" s="13" t="s">
        <v>11</v>
      </c>
      <c r="D771" s="14"/>
      <c r="E771" s="9">
        <v>108.8</v>
      </c>
      <c r="F771" s="9">
        <f t="shared" si="26"/>
        <v>0</v>
      </c>
      <c r="G771" s="13"/>
      <c r="H771" s="14" t="str">
        <f>HYPERLINK("https://pulti.ua/tv/pult-dlja-shivaki-rc02-61")</f>
        <v>https://pulti.ua/tv/pult-dlja-shivaki-rc02-61</v>
      </c>
    </row>
    <row r="772" spans="1:8" s="18" customFormat="1" ht="15" customHeight="1">
      <c r="A772" s="11">
        <v>1919</v>
      </c>
      <c r="B772" s="12" t="s">
        <v>716</v>
      </c>
      <c r="C772" s="13" t="s">
        <v>11</v>
      </c>
      <c r="D772" s="14"/>
      <c r="E772" s="9">
        <v>54.4</v>
      </c>
      <c r="F772" s="9">
        <f t="shared" si="26"/>
        <v>0</v>
      </c>
      <c r="G772" s="13"/>
      <c r="H772" s="14" t="str">
        <f>HYPERLINK("https://pulti.ua/tv/pult-dlja-shivaki-re-811")</f>
        <v>https://pulti.ua/tv/pult-dlja-shivaki-re-811</v>
      </c>
    </row>
    <row r="773" spans="1:8" s="18" customFormat="1" ht="15" customHeight="1">
      <c r="A773" s="11">
        <v>1915</v>
      </c>
      <c r="B773" s="12" t="s">
        <v>717</v>
      </c>
      <c r="C773" s="13" t="s">
        <v>11</v>
      </c>
      <c r="D773" s="14"/>
      <c r="E773" s="9">
        <v>93.8</v>
      </c>
      <c r="F773" s="9">
        <f t="shared" si="26"/>
        <v>0</v>
      </c>
      <c r="G773" s="13"/>
      <c r="H773" s="14" t="str">
        <f>HYPERLINK("https://pulti.ua/tv/pult-dlja-shivaki-rc-9830")</f>
        <v>https://pulti.ua/tv/pult-dlja-shivaki-rc-9830</v>
      </c>
    </row>
    <row r="774" spans="1:8" s="18" customFormat="1" ht="15" customHeight="1">
      <c r="A774" s="39">
        <v>4394</v>
      </c>
      <c r="B774" s="26" t="s">
        <v>718</v>
      </c>
      <c r="C774" s="13" t="s">
        <v>14</v>
      </c>
      <c r="D774" s="14"/>
      <c r="E774" s="9">
        <v>97.5</v>
      </c>
      <c r="F774" s="9">
        <f t="shared" si="26"/>
        <v>0</v>
      </c>
      <c r="G774" s="13"/>
      <c r="H774" s="14" t="str">
        <f>HYPERLINK("https://pulti.ua/tv/pult-dlya-shivaki-stv-45led18s")</f>
        <v>https://pulti.ua/tv/pult-dlya-shivaki-stv-45led18s</v>
      </c>
    </row>
    <row r="775" spans="1:8" s="18" customFormat="1" ht="15" customHeight="1">
      <c r="A775" s="39">
        <v>2761</v>
      </c>
      <c r="B775" s="26" t="s">
        <v>719</v>
      </c>
      <c r="C775" s="13" t="s">
        <v>11</v>
      </c>
      <c r="D775" s="14"/>
      <c r="E775" s="9">
        <v>65.6</v>
      </c>
      <c r="F775" s="9">
        <f t="shared" si="26"/>
        <v>0</v>
      </c>
      <c r="G775" s="13"/>
      <c r="H775" s="14" t="str">
        <f>HYPERLINK("https://pulti.ua/tv/pult-dlja-sitronics-50j1-ic")</f>
        <v>https://pulti.ua/tv/pult-dlja-sitronics-50j1-ic</v>
      </c>
    </row>
    <row r="776" spans="1:8" s="18" customFormat="1" ht="15" customHeight="1">
      <c r="A776" s="11">
        <v>2762</v>
      </c>
      <c r="B776" s="12" t="s">
        <v>720</v>
      </c>
      <c r="C776" s="13" t="s">
        <v>22</v>
      </c>
      <c r="D776" s="14"/>
      <c r="E776" s="9">
        <v>78.8</v>
      </c>
      <c r="F776" s="9">
        <f t="shared" si="26"/>
        <v>0</v>
      </c>
      <c r="G776" s="13"/>
      <c r="H776" s="14" t="str">
        <f>HYPERLINK("https://pulti.ua/tv/pult-dlja-sitronics-hydfsr-a025eus")</f>
        <v>https://pulti.ua/tv/pult-dlja-sitronics-hydfsr-a025eus</v>
      </c>
    </row>
    <row r="777" spans="1:8" s="18" customFormat="1" ht="15" customHeight="1">
      <c r="A777" s="11">
        <v>2764</v>
      </c>
      <c r="B777" s="12" t="s">
        <v>721</v>
      </c>
      <c r="C777" s="13" t="s">
        <v>11</v>
      </c>
      <c r="D777" s="14"/>
      <c r="E777" s="9">
        <v>63.8</v>
      </c>
      <c r="F777" s="9">
        <f t="shared" si="26"/>
        <v>0</v>
      </c>
      <c r="G777" s="13"/>
      <c r="H777" s="14" t="str">
        <f>HYPERLINK("https://pulti.ua/tv/pult-dlja-sitronics-rc-2129ms")</f>
        <v>https://pulti.ua/tv/pult-dlja-sitronics-rc-2129ms</v>
      </c>
    </row>
    <row r="778" spans="1:8" s="18" customFormat="1" ht="15" customHeight="1">
      <c r="A778" s="11">
        <v>2765</v>
      </c>
      <c r="B778" s="12" t="s">
        <v>722</v>
      </c>
      <c r="C778" s="13" t="s">
        <v>22</v>
      </c>
      <c r="D778" s="14"/>
      <c r="E778" s="9">
        <v>75</v>
      </c>
      <c r="F778" s="9">
        <f t="shared" si="26"/>
        <v>0</v>
      </c>
      <c r="G778" s="13"/>
      <c r="H778" s="14" t="str">
        <f>HYPERLINK("https://pulti.ua/tv/pult-dlja-sitronics-rk41a")</f>
        <v>https://pulti.ua/tv/pult-dlja-sitronics-rk41a</v>
      </c>
    </row>
    <row r="779" spans="1:8" s="18" customFormat="1" ht="15" customHeight="1">
      <c r="A779" s="39">
        <v>2766</v>
      </c>
      <c r="B779" s="26" t="s">
        <v>723</v>
      </c>
      <c r="C779" s="13" t="s">
        <v>11</v>
      </c>
      <c r="D779" s="14"/>
      <c r="E779" s="9">
        <v>67.5</v>
      </c>
      <c r="F779" s="9">
        <f t="shared" si="26"/>
        <v>0</v>
      </c>
      <c r="G779" s="13"/>
      <c r="H779" s="14" t="str">
        <f>HYPERLINK("https://pulti.ua/tv/pult-dlja-sitronics-st-9012")</f>
        <v>https://pulti.ua/tv/pult-dlja-sitronics-st-9012</v>
      </c>
    </row>
    <row r="780" spans="1:8" s="18" customFormat="1" ht="15" customHeight="1">
      <c r="A780" s="11">
        <v>2767</v>
      </c>
      <c r="B780" s="12" t="s">
        <v>724</v>
      </c>
      <c r="C780" s="13" t="s">
        <v>11</v>
      </c>
      <c r="D780" s="14"/>
      <c r="E780" s="9">
        <v>56.3</v>
      </c>
      <c r="F780" s="9">
        <f t="shared" si="26"/>
        <v>0</v>
      </c>
      <c r="G780" s="13"/>
      <c r="H780" s="14" t="str">
        <f>HYPERLINK("https://pulti.ua/tv/pult-dlja-sitronics-stv-1402")</f>
        <v>https://pulti.ua/tv/pult-dlja-sitronics-stv-1402</v>
      </c>
    </row>
    <row r="781" spans="1:8" s="18" customFormat="1" ht="15" customHeight="1">
      <c r="A781" s="11">
        <v>1927</v>
      </c>
      <c r="B781" s="12" t="s">
        <v>725</v>
      </c>
      <c r="C781" s="13" t="s">
        <v>11</v>
      </c>
      <c r="D781" s="14"/>
      <c r="E781" s="9">
        <v>52.5</v>
      </c>
      <c r="F781" s="9">
        <f t="shared" si="26"/>
        <v>0</v>
      </c>
      <c r="G781" s="13"/>
      <c r="H781" s="14" t="str">
        <f>HYPERLINK("https://pulti.ua/tv/pult-dlja-sony-rm-687c")</f>
        <v>https://pulti.ua/tv/pult-dlja-sony-rm-687c</v>
      </c>
    </row>
    <row r="782" spans="1:8" s="18" customFormat="1" ht="15" customHeight="1">
      <c r="A782" s="39">
        <v>1928</v>
      </c>
      <c r="B782" s="26" t="s">
        <v>726</v>
      </c>
      <c r="C782" s="13" t="s">
        <v>11</v>
      </c>
      <c r="D782" s="14"/>
      <c r="E782" s="9">
        <v>168.8</v>
      </c>
      <c r="F782" s="9">
        <f t="shared" si="26"/>
        <v>0</v>
      </c>
      <c r="G782" s="13"/>
      <c r="H782" s="14" t="str">
        <f>HYPERLINK("https://pulti.ua/tv/pult-dlja-sony-rm-816-ic")</f>
        <v>https://pulti.ua/tv/pult-dlja-sony-rm-816-ic</v>
      </c>
    </row>
    <row r="783" spans="1:8" s="18" customFormat="1" ht="15" customHeight="1">
      <c r="A783" s="11">
        <v>1930</v>
      </c>
      <c r="B783" s="12" t="s">
        <v>727</v>
      </c>
      <c r="C783" s="13" t="s">
        <v>11</v>
      </c>
      <c r="D783" s="14"/>
      <c r="E783" s="9">
        <v>48.8</v>
      </c>
      <c r="F783" s="9">
        <f t="shared" si="26"/>
        <v>0</v>
      </c>
      <c r="G783" s="13"/>
      <c r="H783" s="14" t="str">
        <f>HYPERLINK("https://pulti.ua/tv/pult-dlja-sony-rm-827s")</f>
        <v>https://pulti.ua/tv/pult-dlja-sony-rm-827s</v>
      </c>
    </row>
    <row r="784" spans="1:8" s="18" customFormat="1" ht="15" customHeight="1">
      <c r="A784" s="11">
        <v>1934</v>
      </c>
      <c r="B784" s="12" t="s">
        <v>728</v>
      </c>
      <c r="C784" s="13" t="s">
        <v>11</v>
      </c>
      <c r="D784" s="14"/>
      <c r="E784" s="9">
        <v>56.3</v>
      </c>
      <c r="F784" s="9">
        <f t="shared" si="26"/>
        <v>0</v>
      </c>
      <c r="G784" s="13"/>
      <c r="H784" s="14" t="str">
        <f>HYPERLINK("https://pulti.ua/tv/pult-dlja-sony-rm-836")</f>
        <v>https://pulti.ua/tv/pult-dlja-sony-rm-836</v>
      </c>
    </row>
    <row r="785" spans="1:8" s="18" customFormat="1" ht="15" customHeight="1">
      <c r="A785" s="11">
        <v>1936</v>
      </c>
      <c r="B785" s="12" t="s">
        <v>729</v>
      </c>
      <c r="C785" s="13" t="s">
        <v>11</v>
      </c>
      <c r="D785" s="14"/>
      <c r="E785" s="9">
        <v>54.4</v>
      </c>
      <c r="F785" s="9">
        <f t="shared" si="26"/>
        <v>0</v>
      </c>
      <c r="G785" s="13"/>
      <c r="H785" s="14" t="str">
        <f>HYPERLINK("https://pulti.ua/tv/pult-dlja-sony-rm-839")</f>
        <v>https://pulti.ua/tv/pult-dlja-sony-rm-839</v>
      </c>
    </row>
    <row r="786" spans="1:8" s="18" customFormat="1" ht="15" customHeight="1">
      <c r="A786" s="39">
        <v>3430</v>
      </c>
      <c r="B786" s="26" t="s">
        <v>730</v>
      </c>
      <c r="C786" s="13" t="s">
        <v>11</v>
      </c>
      <c r="D786" s="14"/>
      <c r="E786" s="9">
        <v>65.6</v>
      </c>
      <c r="F786" s="9">
        <f t="shared" si="26"/>
        <v>0</v>
      </c>
      <c r="G786" s="13"/>
      <c r="H786" s="14" t="str">
        <f>HYPERLINK("https://pulti.ua/tv/pult-dlja-sony-rm-839-ic")</f>
        <v>https://pulti.ua/tv/pult-dlja-sony-rm-839-ic</v>
      </c>
    </row>
    <row r="787" spans="1:8" s="18" customFormat="1" ht="15" customHeight="1">
      <c r="A787" s="11">
        <v>1941</v>
      </c>
      <c r="B787" s="12" t="s">
        <v>731</v>
      </c>
      <c r="C787" s="13" t="s">
        <v>11</v>
      </c>
      <c r="D787" s="14"/>
      <c r="E787" s="9">
        <v>48.8</v>
      </c>
      <c r="F787" s="9">
        <f t="shared" si="26"/>
        <v>0</v>
      </c>
      <c r="G787" s="13"/>
      <c r="H787" s="14" t="str">
        <f>HYPERLINK("https://pulti.ua/tv/pult-dlja-sony-rm-870")</f>
        <v>https://pulti.ua/tv/pult-dlja-sony-rm-870</v>
      </c>
    </row>
    <row r="788" spans="1:8" s="18" customFormat="1" ht="15" customHeight="1">
      <c r="A788" s="11">
        <v>1945</v>
      </c>
      <c r="B788" s="12" t="s">
        <v>732</v>
      </c>
      <c r="C788" s="13" t="s">
        <v>11</v>
      </c>
      <c r="D788" s="14"/>
      <c r="E788" s="9">
        <v>58.1</v>
      </c>
      <c r="F788" s="9">
        <f t="shared" si="26"/>
        <v>0</v>
      </c>
      <c r="G788" s="13"/>
      <c r="H788" s="14" t="str">
        <f>HYPERLINK("https://pulti.ua/tv/pult-dlja-sony-rm-887")</f>
        <v>https://pulti.ua/tv/pult-dlja-sony-rm-887</v>
      </c>
    </row>
    <row r="789" spans="1:8" s="18" customFormat="1" ht="15" customHeight="1">
      <c r="A789" s="39">
        <v>1244</v>
      </c>
      <c r="B789" s="26" t="s">
        <v>733</v>
      </c>
      <c r="C789" s="13" t="s">
        <v>11</v>
      </c>
      <c r="D789" s="14"/>
      <c r="E789" s="9">
        <v>63.8</v>
      </c>
      <c r="F789" s="9">
        <f t="shared" si="26"/>
        <v>0</v>
      </c>
      <c r="G789" s="13"/>
      <c r="H789" s="14" t="str">
        <f>HYPERLINK("https://pulti.ua/tv/pult-dlja-sony-rm-887-ic")</f>
        <v>https://pulti.ua/tv/pult-dlja-sony-rm-887-ic</v>
      </c>
    </row>
    <row r="790" spans="1:8" s="18" customFormat="1" ht="15" customHeight="1">
      <c r="A790" s="39">
        <v>1948</v>
      </c>
      <c r="B790" s="26" t="s">
        <v>734</v>
      </c>
      <c r="C790" s="13" t="s">
        <v>11</v>
      </c>
      <c r="D790" s="14"/>
      <c r="E790" s="9">
        <v>56.3</v>
      </c>
      <c r="F790" s="9">
        <f t="shared" si="26"/>
        <v>0</v>
      </c>
      <c r="G790" s="13"/>
      <c r="H790" s="14" t="str">
        <f>HYPERLINK("https://pulti.ua/tv/pult-dlja-sony-rm-932")</f>
        <v>https://pulti.ua/tv/pult-dlja-sony-rm-932</v>
      </c>
    </row>
    <row r="791" spans="1:8" s="18" customFormat="1" ht="15" customHeight="1">
      <c r="A791" s="39">
        <v>1949</v>
      </c>
      <c r="B791" s="26" t="s">
        <v>735</v>
      </c>
      <c r="C791" s="13" t="s">
        <v>11</v>
      </c>
      <c r="D791" s="14"/>
      <c r="E791" s="9">
        <v>78.8</v>
      </c>
      <c r="F791" s="9">
        <f t="shared" si="26"/>
        <v>0</v>
      </c>
      <c r="G791" s="13"/>
      <c r="H791" s="14" t="str">
        <f>HYPERLINK("https://pulti.ua/tv/pult-dlja-sony-rm-934")</f>
        <v>https://pulti.ua/tv/pult-dlja-sony-rm-934</v>
      </c>
    </row>
    <row r="792" spans="1:8" s="18" customFormat="1" ht="15" customHeight="1">
      <c r="A792" s="11">
        <v>1951</v>
      </c>
      <c r="B792" s="12" t="s">
        <v>736</v>
      </c>
      <c r="C792" s="13" t="s">
        <v>11</v>
      </c>
      <c r="D792" s="14"/>
      <c r="E792" s="9">
        <v>116.3</v>
      </c>
      <c r="F792" s="9">
        <f t="shared" si="26"/>
        <v>0</v>
      </c>
      <c r="G792" s="13"/>
      <c r="H792" s="14" t="str">
        <f>HYPERLINK("https://pulti.ua/tv/pult-dlja-sony-rm-953")</f>
        <v>https://pulti.ua/tv/pult-dlja-sony-rm-953</v>
      </c>
    </row>
    <row r="793" spans="1:8" s="18" customFormat="1" ht="15" customHeight="1">
      <c r="A793" s="11">
        <v>1952</v>
      </c>
      <c r="B793" s="12" t="s">
        <v>737</v>
      </c>
      <c r="C793" s="13" t="s">
        <v>11</v>
      </c>
      <c r="D793" s="14"/>
      <c r="E793" s="9">
        <v>116.3</v>
      </c>
      <c r="F793" s="9">
        <f t="shared" si="26"/>
        <v>0</v>
      </c>
      <c r="G793" s="13"/>
      <c r="H793" s="14" t="str">
        <f>HYPERLINK("https://pulti.ua/tv/pult-dlja-sony-rm-954")</f>
        <v>https://pulti.ua/tv/pult-dlja-sony-rm-954</v>
      </c>
    </row>
    <row r="794" spans="1:8" s="18" customFormat="1" ht="15" customHeight="1">
      <c r="A794" s="11">
        <v>1953</v>
      </c>
      <c r="B794" s="12" t="s">
        <v>738</v>
      </c>
      <c r="C794" s="13" t="s">
        <v>11</v>
      </c>
      <c r="D794" s="14"/>
      <c r="E794" s="9">
        <v>153.8</v>
      </c>
      <c r="F794" s="9">
        <f t="shared" si="26"/>
        <v>0</v>
      </c>
      <c r="G794" s="13"/>
      <c r="H794" s="14" t="str">
        <f>HYPERLINK("https://pulti.ua/tv/pult-dlja-sony-rm-992")</f>
        <v>https://pulti.ua/tv/pult-dlja-sony-rm-992</v>
      </c>
    </row>
    <row r="795" spans="1:8" s="18" customFormat="1" ht="15" customHeight="1">
      <c r="A795" s="39">
        <v>2886</v>
      </c>
      <c r="B795" s="26" t="s">
        <v>739</v>
      </c>
      <c r="C795" s="13" t="s">
        <v>22</v>
      </c>
      <c r="D795" s="14"/>
      <c r="E795" s="9">
        <v>52.5</v>
      </c>
      <c r="F795" s="9">
        <f t="shared" si="26"/>
        <v>0</v>
      </c>
      <c r="G795" s="13"/>
      <c r="H795" s="14" t="str">
        <f>HYPERLINK("https://pulti.ua/tv/pult-dlja-sony-rm-ea006")</f>
        <v>https://pulti.ua/tv/pult-dlja-sony-rm-ea006</v>
      </c>
    </row>
    <row r="796" spans="1:8" s="18" customFormat="1" ht="15" customHeight="1">
      <c r="A796" s="39">
        <v>1954</v>
      </c>
      <c r="B796" s="26" t="s">
        <v>740</v>
      </c>
      <c r="C796" s="13" t="s">
        <v>22</v>
      </c>
      <c r="D796" s="14"/>
      <c r="E796" s="9">
        <v>67.5</v>
      </c>
      <c r="F796" s="9">
        <f t="shared" si="26"/>
        <v>0</v>
      </c>
      <c r="G796" s="13"/>
      <c r="H796" s="14" t="str">
        <f>HYPERLINK("https://pulti.ua/tv/pult-dlja-sony-rm-ed005")</f>
        <v>https://pulti.ua/tv/pult-dlja-sony-rm-ed005</v>
      </c>
    </row>
    <row r="797" spans="1:8" s="18" customFormat="1" ht="15" customHeight="1">
      <c r="A797" s="39">
        <v>1955</v>
      </c>
      <c r="B797" s="26" t="s">
        <v>1379</v>
      </c>
      <c r="C797" s="13" t="s">
        <v>22</v>
      </c>
      <c r="D797" s="15" t="s">
        <v>1314</v>
      </c>
      <c r="E797" s="9">
        <v>75</v>
      </c>
      <c r="F797" s="9"/>
      <c r="G797" s="13"/>
      <c r="H797" s="14" t="str">
        <f>HYPERLINK("https://pulti.ua/tv/pult-dlja-sony-rm-ed007")</f>
        <v>https://pulti.ua/tv/pult-dlja-sony-rm-ed007</v>
      </c>
    </row>
    <row r="798" spans="1:8" s="18" customFormat="1" ht="15" customHeight="1">
      <c r="A798" s="39">
        <v>1957</v>
      </c>
      <c r="B798" s="26" t="s">
        <v>741</v>
      </c>
      <c r="C798" s="13" t="s">
        <v>22</v>
      </c>
      <c r="D798" s="15" t="s">
        <v>1314</v>
      </c>
      <c r="E798" s="9">
        <v>67.5</v>
      </c>
      <c r="F798" s="9"/>
      <c r="G798" s="13"/>
      <c r="H798" s="14" t="str">
        <f>HYPERLINK("https://pulti.ua/tv/pult-dlja-sony-rm-ed009--bravia")</f>
        <v>https://pulti.ua/tv/pult-dlja-sony-rm-ed009--bravia</v>
      </c>
    </row>
    <row r="799" spans="1:8" s="18" customFormat="1" ht="15" customHeight="1">
      <c r="A799" s="39">
        <v>1958</v>
      </c>
      <c r="B799" s="26" t="s">
        <v>1380</v>
      </c>
      <c r="C799" s="13" t="s">
        <v>22</v>
      </c>
      <c r="D799" s="15" t="s">
        <v>1314</v>
      </c>
      <c r="E799" s="9">
        <v>75</v>
      </c>
      <c r="F799" s="9"/>
      <c r="G799" s="13"/>
      <c r="H799" s="14" t="str">
        <f>HYPERLINK("https://pulti.ua/tv/pult-dlja-sony-rm-ed011--bravia")</f>
        <v>https://pulti.ua/tv/pult-dlja-sony-rm-ed011--bravia</v>
      </c>
    </row>
    <row r="800" spans="1:8" s="18" customFormat="1" ht="15" customHeight="1">
      <c r="A800" s="39">
        <v>1959</v>
      </c>
      <c r="B800" s="26" t="s">
        <v>742</v>
      </c>
      <c r="C800" s="13" t="s">
        <v>22</v>
      </c>
      <c r="D800" s="15" t="s">
        <v>1314</v>
      </c>
      <c r="E800" s="9">
        <v>82.5</v>
      </c>
      <c r="F800" s="9"/>
      <c r="G800" s="13"/>
      <c r="H800" s="14" t="str">
        <f>HYPERLINK("https://pulti.ua/tv/pult-dlja-sony-rm-ed013--bravia")</f>
        <v>https://pulti.ua/tv/pult-dlja-sony-rm-ed013--bravia</v>
      </c>
    </row>
    <row r="801" spans="1:8" s="18" customFormat="1" ht="15" customHeight="1">
      <c r="A801" s="39">
        <v>1961</v>
      </c>
      <c r="B801" s="26" t="s">
        <v>743</v>
      </c>
      <c r="C801" s="13" t="s">
        <v>14</v>
      </c>
      <c r="D801" s="14"/>
      <c r="E801" s="9">
        <v>75</v>
      </c>
      <c r="F801" s="9">
        <f aca="true" t="shared" si="27" ref="F801:F816">D801*E801</f>
        <v>0</v>
      </c>
      <c r="G801" s="13"/>
      <c r="H801" s="14" t="str">
        <f>HYPERLINK("https://pulti.ua/tv/pult--dlja-sony-rm-ed017")</f>
        <v>https://pulti.ua/tv/pult--dlja-sony-rm-ed017</v>
      </c>
    </row>
    <row r="802" spans="1:8" s="18" customFormat="1" ht="15" customHeight="1">
      <c r="A802" s="39">
        <v>1962</v>
      </c>
      <c r="B802" s="26" t="s">
        <v>1381</v>
      </c>
      <c r="C802" s="13" t="s">
        <v>14</v>
      </c>
      <c r="D802" s="14"/>
      <c r="E802" s="9">
        <v>71.3</v>
      </c>
      <c r="F802" s="9">
        <f t="shared" si="27"/>
        <v>0</v>
      </c>
      <c r="G802" s="13"/>
      <c r="H802" s="14" t="str">
        <f>HYPERLINK("https://pulti.ua/tv/pult-dlja-sony-rm-ed017w")</f>
        <v>https://pulti.ua/tv/pult-dlja-sony-rm-ed017w</v>
      </c>
    </row>
    <row r="803" spans="1:8" s="18" customFormat="1" ht="15" customHeight="1">
      <c r="A803" s="39">
        <v>1963</v>
      </c>
      <c r="B803" s="26" t="s">
        <v>744</v>
      </c>
      <c r="C803" s="13" t="s">
        <v>14</v>
      </c>
      <c r="D803" s="14"/>
      <c r="E803" s="9">
        <v>161.3</v>
      </c>
      <c r="F803" s="9">
        <f t="shared" si="27"/>
        <v>0</v>
      </c>
      <c r="G803" s="13"/>
      <c r="H803" s="14" t="str">
        <f>HYPERLINK("https://pulti.ua/tv/pult-dlja-sony-rm-ed020")</f>
        <v>https://pulti.ua/tv/pult-dlja-sony-rm-ed020</v>
      </c>
    </row>
    <row r="804" spans="1:8" s="18" customFormat="1" ht="15" customHeight="1">
      <c r="A804" s="39">
        <v>1964</v>
      </c>
      <c r="B804" s="26" t="s">
        <v>745</v>
      </c>
      <c r="C804" s="13" t="s">
        <v>14</v>
      </c>
      <c r="D804" s="14"/>
      <c r="E804" s="9">
        <v>105</v>
      </c>
      <c r="F804" s="9">
        <f t="shared" si="27"/>
        <v>0</v>
      </c>
      <c r="G804" s="13"/>
      <c r="H804" s="14" t="str">
        <f>HYPERLINK("https://pulti.ua/tv/pult-dlja-sony-rm-ed022")</f>
        <v>https://pulti.ua/tv/pult-dlja-sony-rm-ed022</v>
      </c>
    </row>
    <row r="805" spans="1:8" s="18" customFormat="1" ht="15" customHeight="1">
      <c r="A805" s="39">
        <v>1965</v>
      </c>
      <c r="B805" s="26" t="s">
        <v>746</v>
      </c>
      <c r="C805" s="13" t="s">
        <v>14</v>
      </c>
      <c r="D805" s="14"/>
      <c r="E805" s="9">
        <v>150</v>
      </c>
      <c r="F805" s="9">
        <f t="shared" si="27"/>
        <v>0</v>
      </c>
      <c r="G805" s="13"/>
      <c r="H805" s="14" t="str">
        <f>HYPERLINK("https://pulti.ua/tv/pult-dlja-sony-rm-ed029")</f>
        <v>https://pulti.ua/tv/pult-dlja-sony-rm-ed029</v>
      </c>
    </row>
    <row r="806" spans="1:8" s="18" customFormat="1" ht="15" customHeight="1">
      <c r="A806" s="39">
        <v>1252</v>
      </c>
      <c r="B806" s="26" t="s">
        <v>747</v>
      </c>
      <c r="C806" s="13" t="s">
        <v>14</v>
      </c>
      <c r="D806" s="14"/>
      <c r="E806" s="9">
        <v>228.8</v>
      </c>
      <c r="F806" s="9">
        <f t="shared" si="27"/>
        <v>0</v>
      </c>
      <c r="G806" s="13"/>
      <c r="H806" s="14" t="str">
        <f>HYPERLINK("https://pulti.ua/tv/pult-dlja-sony-rm-ed030")</f>
        <v>https://pulti.ua/tv/pult-dlja-sony-rm-ed030</v>
      </c>
    </row>
    <row r="807" spans="1:8" s="18" customFormat="1" ht="15" customHeight="1">
      <c r="A807" s="39">
        <v>1282</v>
      </c>
      <c r="B807" s="26" t="s">
        <v>748</v>
      </c>
      <c r="C807" s="13" t="s">
        <v>14</v>
      </c>
      <c r="D807" s="14"/>
      <c r="E807" s="9">
        <v>228.8</v>
      </c>
      <c r="F807" s="9">
        <f t="shared" si="27"/>
        <v>0</v>
      </c>
      <c r="G807" s="13"/>
      <c r="H807" s="14" t="str">
        <f>HYPERLINK("https://pulti.ua/tv/pult-dlja-sony-rm-ed033")</f>
        <v>https://pulti.ua/tv/pult-dlja-sony-rm-ed033</v>
      </c>
    </row>
    <row r="808" spans="1:8" s="18" customFormat="1" ht="15" customHeight="1">
      <c r="A808" s="39">
        <v>1966</v>
      </c>
      <c r="B808" s="26" t="s">
        <v>749</v>
      </c>
      <c r="C808" s="13" t="s">
        <v>14</v>
      </c>
      <c r="D808" s="14"/>
      <c r="E808" s="9">
        <v>75</v>
      </c>
      <c r="F808" s="9">
        <f t="shared" si="27"/>
        <v>0</v>
      </c>
      <c r="G808" s="13"/>
      <c r="H808" s="14" t="str">
        <f>HYPERLINK("https://pulti.ua/tv/pult-dlja-sony-rm-ed034-3d")</f>
        <v>https://pulti.ua/tv/pult-dlja-sony-rm-ed034-3d</v>
      </c>
    </row>
    <row r="809" spans="1:8" s="18" customFormat="1" ht="15" customHeight="1">
      <c r="A809" s="39">
        <v>1969</v>
      </c>
      <c r="B809" s="26" t="s">
        <v>750</v>
      </c>
      <c r="C809" s="13" t="s">
        <v>14</v>
      </c>
      <c r="D809" s="14"/>
      <c r="E809" s="9">
        <v>195</v>
      </c>
      <c r="F809" s="9">
        <f t="shared" si="27"/>
        <v>0</v>
      </c>
      <c r="G809" s="13"/>
      <c r="H809" s="14" t="str">
        <f>HYPERLINK("https://pulti.ua/tv/pult-dlja-sony-rm-ed037")</f>
        <v>https://pulti.ua/tv/pult-dlja-sony-rm-ed037</v>
      </c>
    </row>
    <row r="810" spans="1:8" s="18" customFormat="1" ht="15" customHeight="1">
      <c r="A810" s="39">
        <v>1970</v>
      </c>
      <c r="B810" s="26" t="s">
        <v>751</v>
      </c>
      <c r="C810" s="13" t="s">
        <v>14</v>
      </c>
      <c r="D810" s="14"/>
      <c r="E810" s="9">
        <v>161.3</v>
      </c>
      <c r="F810" s="9">
        <f t="shared" si="27"/>
        <v>0</v>
      </c>
      <c r="G810" s="13"/>
      <c r="H810" s="14" t="str">
        <f>HYPERLINK("https://pulti.ua/tv/pult-dlja-sony-rm-ed038")</f>
        <v>https://pulti.ua/tv/pult-dlja-sony-rm-ed038</v>
      </c>
    </row>
    <row r="811" spans="1:8" s="18" customFormat="1" ht="15" customHeight="1">
      <c r="A811" s="39">
        <v>1971</v>
      </c>
      <c r="B811" s="26" t="s">
        <v>752</v>
      </c>
      <c r="C811" s="13" t="s">
        <v>14</v>
      </c>
      <c r="D811" s="14"/>
      <c r="E811" s="9">
        <v>93.8</v>
      </c>
      <c r="F811" s="9">
        <f t="shared" si="27"/>
        <v>0</v>
      </c>
      <c r="G811" s="13"/>
      <c r="H811" s="14" t="str">
        <f>HYPERLINK("https://pulti.ua/tv/pult-dlja-sony-rm-ed040---lcd-plus-playstation")</f>
        <v>https://pulti.ua/tv/pult-dlja-sony-rm-ed040---lcd-plus-playstation</v>
      </c>
    </row>
    <row r="812" spans="1:8" s="18" customFormat="1" ht="15" customHeight="1">
      <c r="A812" s="39">
        <v>1972</v>
      </c>
      <c r="B812" s="26" t="s">
        <v>753</v>
      </c>
      <c r="C812" s="13" t="s">
        <v>14</v>
      </c>
      <c r="D812" s="14"/>
      <c r="E812" s="9">
        <v>78.8</v>
      </c>
      <c r="F812" s="9">
        <f t="shared" si="27"/>
        <v>0</v>
      </c>
      <c r="G812" s="13"/>
      <c r="H812" s="14" t="str">
        <f>HYPERLINK("https://pulti.ua/tv/pult-dlja-sony-rm-ed041---3d")</f>
        <v>https://pulti.ua/tv/pult-dlja-sony-rm-ed041---3d</v>
      </c>
    </row>
    <row r="813" spans="1:8" s="18" customFormat="1" ht="15" customHeight="1">
      <c r="A813" s="39">
        <v>1974</v>
      </c>
      <c r="B813" s="26" t="s">
        <v>754</v>
      </c>
      <c r="C813" s="13" t="s">
        <v>14</v>
      </c>
      <c r="D813" s="14"/>
      <c r="E813" s="9">
        <v>78.8</v>
      </c>
      <c r="F813" s="9">
        <f t="shared" si="27"/>
        <v>0</v>
      </c>
      <c r="G813" s="13"/>
      <c r="H813" s="14" t="str">
        <f>HYPERLINK("https://pulti.ua/tv/pult-dlja-sony-rm-ed045")</f>
        <v>https://pulti.ua/tv/pult-dlja-sony-rm-ed045</v>
      </c>
    </row>
    <row r="814" spans="1:8" s="18" customFormat="1" ht="15" customHeight="1">
      <c r="A814" s="39">
        <v>3589</v>
      </c>
      <c r="B814" s="26" t="s">
        <v>755</v>
      </c>
      <c r="C814" s="13" t="s">
        <v>14</v>
      </c>
      <c r="D814" s="14"/>
      <c r="E814" s="9">
        <v>86.3</v>
      </c>
      <c r="F814" s="9">
        <f t="shared" si="27"/>
        <v>0</v>
      </c>
      <c r="G814" s="13"/>
      <c r="H814" s="14" t="str">
        <f>HYPERLINK("https://pulti.ua/tv/pult-dlja-sony-rm-ed047-3d")</f>
        <v>https://pulti.ua/tv/pult-dlja-sony-rm-ed047-3d</v>
      </c>
    </row>
    <row r="815" spans="1:8" s="18" customFormat="1" ht="15" customHeight="1">
      <c r="A815" s="39">
        <v>3590</v>
      </c>
      <c r="B815" s="26" t="s">
        <v>756</v>
      </c>
      <c r="C815" s="13" t="s">
        <v>14</v>
      </c>
      <c r="D815" s="14"/>
      <c r="E815" s="9">
        <v>82.5</v>
      </c>
      <c r="F815" s="9">
        <f t="shared" si="27"/>
        <v>0</v>
      </c>
      <c r="G815" s="13"/>
      <c r="H815" s="14" t="str">
        <f>HYPERLINK("https://pulti.ua/tv/pult-dlja-sony-rm-ed050")</f>
        <v>https://pulti.ua/tv/pult-dlja-sony-rm-ed050</v>
      </c>
    </row>
    <row r="816" spans="1:8" s="18" customFormat="1" ht="15" customHeight="1">
      <c r="A816" s="39">
        <v>3591</v>
      </c>
      <c r="B816" s="26" t="s">
        <v>757</v>
      </c>
      <c r="C816" s="13" t="s">
        <v>14</v>
      </c>
      <c r="D816" s="14"/>
      <c r="E816" s="9">
        <v>82.5</v>
      </c>
      <c r="F816" s="9">
        <f t="shared" si="27"/>
        <v>0</v>
      </c>
      <c r="G816" s="13"/>
      <c r="H816" s="14" t="str">
        <f>HYPERLINK("https://pulti.ua/tv/pult-dlja-sony-rm-ed052-3d")</f>
        <v>https://pulti.ua/tv/pult-dlja-sony-rm-ed052-3d</v>
      </c>
    </row>
    <row r="817" spans="1:8" s="18" customFormat="1" ht="15" customHeight="1">
      <c r="A817" s="39">
        <v>3592</v>
      </c>
      <c r="B817" s="26" t="s">
        <v>758</v>
      </c>
      <c r="C817" s="13" t="s">
        <v>14</v>
      </c>
      <c r="D817" s="15" t="s">
        <v>1314</v>
      </c>
      <c r="E817" s="9">
        <v>82.5</v>
      </c>
      <c r="F817" s="9"/>
      <c r="G817" s="13"/>
      <c r="H817" s="14" t="str">
        <f>HYPERLINK("https://pulti.ua/tv/pult-dlja-sony-rm-ed053")</f>
        <v>https://pulti.ua/tv/pult-dlja-sony-rm-ed053</v>
      </c>
    </row>
    <row r="818" spans="1:8" s="18" customFormat="1" ht="15" customHeight="1">
      <c r="A818" s="39">
        <v>3656</v>
      </c>
      <c r="B818" s="26" t="s">
        <v>759</v>
      </c>
      <c r="C818" s="13" t="s">
        <v>14</v>
      </c>
      <c r="D818" s="15" t="s">
        <v>1314</v>
      </c>
      <c r="E818" s="9">
        <v>67.5</v>
      </c>
      <c r="F818" s="9"/>
      <c r="G818" s="13"/>
      <c r="H818" s="14" t="str">
        <f>HYPERLINK("https://pulti.ua/tv/pult-dlja-sony-rm-ed054")</f>
        <v>https://pulti.ua/tv/pult-dlja-sony-rm-ed054</v>
      </c>
    </row>
    <row r="819" spans="1:8" s="18" customFormat="1" ht="15" customHeight="1">
      <c r="A819" s="39">
        <v>3834</v>
      </c>
      <c r="B819" s="26" t="s">
        <v>760</v>
      </c>
      <c r="C819" s="13" t="s">
        <v>14</v>
      </c>
      <c r="D819" s="14"/>
      <c r="E819" s="9">
        <v>82.5</v>
      </c>
      <c r="F819" s="9">
        <f aca="true" t="shared" si="28" ref="F819:F827">D819*E819</f>
        <v>0</v>
      </c>
      <c r="G819" s="13"/>
      <c r="H819" s="14" t="str">
        <f>HYPERLINK("https://pulti.ua/tv/pult-dlja-sony-rm-ed058-3d")</f>
        <v>https://pulti.ua/tv/pult-dlja-sony-rm-ed058-3d</v>
      </c>
    </row>
    <row r="820" spans="1:8" s="18" customFormat="1" ht="15" customHeight="1">
      <c r="A820" s="39">
        <v>3792</v>
      </c>
      <c r="B820" s="26" t="s">
        <v>761</v>
      </c>
      <c r="C820" s="13" t="s">
        <v>14</v>
      </c>
      <c r="D820" s="14"/>
      <c r="E820" s="9">
        <v>86.3</v>
      </c>
      <c r="F820" s="9">
        <f t="shared" si="28"/>
        <v>0</v>
      </c>
      <c r="G820" s="13"/>
      <c r="H820" s="14" t="str">
        <f>HYPERLINK("https://pulti.ua/tv/pult-dlja-sony-rm-ed060-3d-ic")</f>
        <v>https://pulti.ua/tv/pult-dlja-sony-rm-ed060-3d-ic</v>
      </c>
    </row>
    <row r="821" spans="1:8" s="18" customFormat="1" ht="15" customHeight="1">
      <c r="A821" s="39">
        <v>4032</v>
      </c>
      <c r="B821" s="26" t="s">
        <v>762</v>
      </c>
      <c r="C821" s="13" t="s">
        <v>14</v>
      </c>
      <c r="D821" s="14"/>
      <c r="E821" s="9">
        <v>75</v>
      </c>
      <c r="F821" s="9">
        <f t="shared" si="28"/>
        <v>0</v>
      </c>
      <c r="G821" s="13"/>
      <c r="H821" s="14" t="str">
        <f>HYPERLINK("https://pulti.ua/tv/pult-dlja-sony-rm-ed061")</f>
        <v>https://pulti.ua/tv/pult-dlja-sony-rm-ed061</v>
      </c>
    </row>
    <row r="822" spans="1:8" s="18" customFormat="1" ht="15" customHeight="1">
      <c r="A822" s="39">
        <v>3793</v>
      </c>
      <c r="B822" s="26" t="s">
        <v>763</v>
      </c>
      <c r="C822" s="13" t="s">
        <v>14</v>
      </c>
      <c r="D822" s="14"/>
      <c r="E822" s="9">
        <v>75</v>
      </c>
      <c r="F822" s="9">
        <f t="shared" si="28"/>
        <v>0</v>
      </c>
      <c r="G822" s="13"/>
      <c r="H822" s="14" t="str">
        <f>HYPERLINK("https://pulti.ua/tv/pult-dlja-sony-rm-ed062")</f>
        <v>https://pulti.ua/tv/pult-dlja-sony-rm-ed062</v>
      </c>
    </row>
    <row r="823" spans="1:8" s="18" customFormat="1" ht="15" customHeight="1">
      <c r="A823" s="11">
        <v>1975</v>
      </c>
      <c r="B823" s="12" t="s">
        <v>764</v>
      </c>
      <c r="C823" s="13" t="s">
        <v>11</v>
      </c>
      <c r="D823" s="14"/>
      <c r="E823" s="9">
        <v>52.5</v>
      </c>
      <c r="F823" s="9">
        <f t="shared" si="28"/>
        <v>0</v>
      </c>
      <c r="G823" s="13"/>
      <c r="H823" s="14" t="str">
        <f>HYPERLINK("https://pulti.ua/tv/pult-dlja-sony-rm-ga002")</f>
        <v>https://pulti.ua/tv/pult-dlja-sony-rm-ga002</v>
      </c>
    </row>
    <row r="824" spans="1:8" s="18" customFormat="1" ht="15" customHeight="1">
      <c r="A824" s="11">
        <v>1976</v>
      </c>
      <c r="B824" s="12" t="s">
        <v>765</v>
      </c>
      <c r="C824" s="13" t="s">
        <v>22</v>
      </c>
      <c r="D824" s="14"/>
      <c r="E824" s="9">
        <v>93.8</v>
      </c>
      <c r="F824" s="9">
        <f t="shared" si="28"/>
        <v>0</v>
      </c>
      <c r="G824" s="13"/>
      <c r="H824" s="14" t="str">
        <f>HYPERLINK("https://pulti.ua/tv/pult-dlja-sony-rm-ga005")</f>
        <v>https://pulti.ua/tv/pult-dlja-sony-rm-ga005</v>
      </c>
    </row>
    <row r="825" spans="1:8" s="18" customFormat="1" ht="15" customHeight="1">
      <c r="A825" s="39">
        <v>1977</v>
      </c>
      <c r="B825" s="26" t="s">
        <v>766</v>
      </c>
      <c r="C825" s="13" t="s">
        <v>22</v>
      </c>
      <c r="D825" s="14"/>
      <c r="E825" s="9">
        <v>101.3</v>
      </c>
      <c r="F825" s="9">
        <f t="shared" si="28"/>
        <v>0</v>
      </c>
      <c r="G825" s="13"/>
      <c r="H825" s="14" t="str">
        <f>HYPERLINK("https://pulti.ua/tv/pult-samsung-bn59-00705a--originalnii")</f>
        <v>https://pulti.ua/tv/pult-samsung-bn59-00705a--originalnii</v>
      </c>
    </row>
    <row r="826" spans="1:8" s="18" customFormat="1" ht="15" customHeight="1">
      <c r="A826" s="39">
        <v>1978</v>
      </c>
      <c r="B826" s="26" t="s">
        <v>767</v>
      </c>
      <c r="C826" s="13" t="s">
        <v>14</v>
      </c>
      <c r="D826" s="14"/>
      <c r="E826" s="9">
        <v>93.8</v>
      </c>
      <c r="F826" s="9">
        <f t="shared" si="28"/>
        <v>0</v>
      </c>
      <c r="G826" s="13"/>
      <c r="H826" s="14" t="str">
        <f>HYPERLINK("https://pulti.ua/tv/pult-dlja-sony-rm-ga015")</f>
        <v>https://pulti.ua/tv/pult-dlja-sony-rm-ga015</v>
      </c>
    </row>
    <row r="827" spans="1:8" s="18" customFormat="1" ht="15" customHeight="1">
      <c r="A827" s="39">
        <v>1979</v>
      </c>
      <c r="B827" s="26" t="s">
        <v>768</v>
      </c>
      <c r="C827" s="13" t="s">
        <v>14</v>
      </c>
      <c r="D827" s="14"/>
      <c r="E827" s="9">
        <v>93.8</v>
      </c>
      <c r="F827" s="9">
        <f t="shared" si="28"/>
        <v>0</v>
      </c>
      <c r="G827" s="13"/>
      <c r="H827" s="14" t="str">
        <f>HYPERLINK("https://pulti.ua/tv/pult-dlja-sony-rm-ga018")</f>
        <v>https://pulti.ua/tv/pult-dlja-sony-rm-ga018</v>
      </c>
    </row>
    <row r="828" spans="1:8" s="18" customFormat="1" ht="15" customHeight="1">
      <c r="A828" s="39">
        <v>3941</v>
      </c>
      <c r="B828" s="26" t="s">
        <v>769</v>
      </c>
      <c r="C828" s="13" t="s">
        <v>14</v>
      </c>
      <c r="D828" s="15" t="s">
        <v>1314</v>
      </c>
      <c r="E828" s="9">
        <v>93.8</v>
      </c>
      <c r="F828" s="9"/>
      <c r="G828" s="13"/>
      <c r="H828" s="14" t="str">
        <f>HYPERLINK("https://pulti.ua/tv/pult-dlja-sony-rmt-tx100d")</f>
        <v>https://pulti.ua/tv/pult-dlja-sony-rmt-tx100d</v>
      </c>
    </row>
    <row r="829" spans="1:8" s="18" customFormat="1" ht="15" customHeight="1">
      <c r="A829" s="39">
        <v>4019</v>
      </c>
      <c r="B829" s="26" t="s">
        <v>770</v>
      </c>
      <c r="C829" s="13" t="s">
        <v>14</v>
      </c>
      <c r="D829" s="14"/>
      <c r="E829" s="9">
        <v>112.5</v>
      </c>
      <c r="F829" s="9">
        <f>D829*E829</f>
        <v>0</v>
      </c>
      <c r="G829" s="13"/>
      <c r="H829" s="14" t="str">
        <f>HYPERLINK("https://pulti.ua/tv/pult-dlja-sony-rmt-tx101p")</f>
        <v>https://pulti.ua/tv/pult-dlja-sony-rmt-tx101p</v>
      </c>
    </row>
    <row r="830" spans="1:8" s="18" customFormat="1" ht="15" customHeight="1">
      <c r="A830" s="39">
        <v>4336</v>
      </c>
      <c r="B830" s="26" t="s">
        <v>771</v>
      </c>
      <c r="C830" s="13" t="s">
        <v>14</v>
      </c>
      <c r="D830" s="15" t="s">
        <v>1314</v>
      </c>
      <c r="E830" s="9">
        <v>90</v>
      </c>
      <c r="F830" s="9"/>
      <c r="G830" s="13"/>
      <c r="H830" s="14" t="str">
        <f>HYPERLINK("https://pulti.ua/tv/pult-dlya-sony-rmt-tx300e")</f>
        <v>https://pulti.ua/tv/pult-dlya-sony-rmt-tx300e</v>
      </c>
    </row>
    <row r="831" spans="1:8" s="18" customFormat="1" ht="15" customHeight="1">
      <c r="A831" s="11">
        <v>1991</v>
      </c>
      <c r="B831" s="12" t="s">
        <v>772</v>
      </c>
      <c r="C831" s="13" t="s">
        <v>773</v>
      </c>
      <c r="D831" s="14"/>
      <c r="E831" s="9">
        <v>82.5</v>
      </c>
      <c r="F831" s="9">
        <f aca="true" t="shared" si="29" ref="F831:F894">D831*E831</f>
        <v>0</v>
      </c>
      <c r="G831" s="13"/>
      <c r="H831" s="14" t="str">
        <f>HYPERLINK("https://pulti.ua/dvd-blueray/pult-dlja-sony-rmt-v154a")</f>
        <v>https://pulti.ua/dvd-blueray/pult-dlja-sony-rmt-v154a</v>
      </c>
    </row>
    <row r="832" spans="1:8" s="18" customFormat="1" ht="15" customHeight="1">
      <c r="A832" s="11">
        <v>1992</v>
      </c>
      <c r="B832" s="12" t="s">
        <v>774</v>
      </c>
      <c r="C832" s="13" t="s">
        <v>773</v>
      </c>
      <c r="D832" s="14"/>
      <c r="E832" s="9">
        <v>82.5</v>
      </c>
      <c r="F832" s="9">
        <f t="shared" si="29"/>
        <v>0</v>
      </c>
      <c r="G832" s="13"/>
      <c r="H832" s="14" t="str">
        <f>HYPERLINK("https://pulti.ua/dvd-blueray/pult-dlja-sony-rmt-v181b")</f>
        <v>https://pulti.ua/dvd-blueray/pult-dlja-sony-rmt-v181b</v>
      </c>
    </row>
    <row r="833" spans="1:8" s="18" customFormat="1" ht="15" customHeight="1">
      <c r="A833" s="11">
        <v>1981</v>
      </c>
      <c r="B833" s="12" t="s">
        <v>775</v>
      </c>
      <c r="C833" s="13" t="s">
        <v>11</v>
      </c>
      <c r="D833" s="14"/>
      <c r="E833" s="9">
        <v>54.4</v>
      </c>
      <c r="F833" s="9">
        <f t="shared" si="29"/>
        <v>0</v>
      </c>
      <c r="G833" s="13"/>
      <c r="H833" s="14" t="str">
        <f>HYPERLINK("https://pulti.ua/tv/pult-dlja-sony-rm-w100")</f>
        <v>https://pulti.ua/tv/pult-dlja-sony-rm-w100</v>
      </c>
    </row>
    <row r="834" spans="1:8" s="18" customFormat="1" ht="15" customHeight="1">
      <c r="A834" s="11">
        <v>1982</v>
      </c>
      <c r="B834" s="12" t="s">
        <v>776</v>
      </c>
      <c r="C834" s="13" t="s">
        <v>11</v>
      </c>
      <c r="D834" s="14"/>
      <c r="E834" s="9">
        <v>57</v>
      </c>
      <c r="F834" s="9">
        <f t="shared" si="29"/>
        <v>0</v>
      </c>
      <c r="G834" s="13"/>
      <c r="H834" s="14" t="str">
        <f>HYPERLINK("https://pulti.ua/tv/pult-dlja-sony-rm-w103")</f>
        <v>https://pulti.ua/tv/pult-dlja-sony-rm-w103</v>
      </c>
    </row>
    <row r="835" spans="1:8" s="18" customFormat="1" ht="15" customHeight="1">
      <c r="A835" s="39">
        <v>1249</v>
      </c>
      <c r="B835" s="26" t="s">
        <v>777</v>
      </c>
      <c r="C835" s="13" t="s">
        <v>11</v>
      </c>
      <c r="D835" s="14"/>
      <c r="E835" s="9">
        <v>63.8</v>
      </c>
      <c r="F835" s="9">
        <f t="shared" si="29"/>
        <v>0</v>
      </c>
      <c r="G835" s="13"/>
      <c r="H835" s="14" t="str">
        <f>HYPERLINK("https://pulti.ua/tv/pult-dlja-sony-rm-w103-ic")</f>
        <v>https://pulti.ua/tv/pult-dlja-sony-rm-w103-ic</v>
      </c>
    </row>
    <row r="836" spans="1:8" s="18" customFormat="1" ht="15" customHeight="1">
      <c r="A836" s="11">
        <v>1984</v>
      </c>
      <c r="B836" s="12" t="s">
        <v>778</v>
      </c>
      <c r="C836" s="13" t="s">
        <v>11</v>
      </c>
      <c r="D836" s="14"/>
      <c r="E836" s="9">
        <v>63.8</v>
      </c>
      <c r="F836" s="9">
        <f t="shared" si="29"/>
        <v>0</v>
      </c>
      <c r="G836" s="13"/>
      <c r="H836" s="14" t="str">
        <f>HYPERLINK("https://pulti.ua/tv/pult-dlja-sony-rm-w104")</f>
        <v>https://pulti.ua/tv/pult-dlja-sony-rm-w104</v>
      </c>
    </row>
    <row r="837" spans="1:8" s="18" customFormat="1" ht="15" customHeight="1">
      <c r="A837" s="11">
        <v>1989</v>
      </c>
      <c r="B837" s="12" t="s">
        <v>779</v>
      </c>
      <c r="C837" s="13" t="s">
        <v>22</v>
      </c>
      <c r="D837" s="14"/>
      <c r="E837" s="9">
        <v>127.5</v>
      </c>
      <c r="F837" s="9">
        <f t="shared" si="29"/>
        <v>0</v>
      </c>
      <c r="G837" s="13"/>
      <c r="H837" s="14" t="str">
        <f>HYPERLINK("https://pulti.ua/tv/pult-dlja-sony-rm-ya005")</f>
        <v>https://pulti.ua/tv/pult-dlja-sony-rm-ya005</v>
      </c>
    </row>
    <row r="838" spans="1:8" s="18" customFormat="1" ht="15" customHeight="1">
      <c r="A838" s="11">
        <v>1987</v>
      </c>
      <c r="B838" s="12" t="s">
        <v>780</v>
      </c>
      <c r="C838" s="13" t="s">
        <v>11</v>
      </c>
      <c r="D838" s="14"/>
      <c r="E838" s="9">
        <v>116.3</v>
      </c>
      <c r="F838" s="9">
        <f t="shared" si="29"/>
        <v>0</v>
      </c>
      <c r="G838" s="13"/>
      <c r="H838" s="14" t="str">
        <f>HYPERLINK("https://pulti.ua/tv/pult-dlja-sony-rm-y194")</f>
        <v>https://pulti.ua/tv/pult-dlja-sony-rm-y194</v>
      </c>
    </row>
    <row r="839" spans="1:8" s="18" customFormat="1" ht="15" customHeight="1">
      <c r="A839" s="11">
        <v>3042</v>
      </c>
      <c r="B839" s="12" t="s">
        <v>781</v>
      </c>
      <c r="C839" s="13" t="s">
        <v>11</v>
      </c>
      <c r="D839" s="14"/>
      <c r="E839" s="9">
        <v>78.8</v>
      </c>
      <c r="F839" s="9">
        <f t="shared" si="29"/>
        <v>0</v>
      </c>
      <c r="G839" s="13"/>
      <c r="H839" s="14" t="str">
        <f>HYPERLINK("https://pulti.ua/tv/pult-dlja-start---rotex")</f>
        <v>https://pulti.ua/tv/pult-dlja-start---rotex</v>
      </c>
    </row>
    <row r="840" spans="1:8" s="18" customFormat="1" ht="15" customHeight="1">
      <c r="A840" s="39">
        <v>3431</v>
      </c>
      <c r="B840" s="26" t="s">
        <v>782</v>
      </c>
      <c r="C840" s="13" t="s">
        <v>22</v>
      </c>
      <c r="D840" s="14"/>
      <c r="E840" s="9">
        <v>50.6</v>
      </c>
      <c r="F840" s="9">
        <f t="shared" si="29"/>
        <v>0</v>
      </c>
      <c r="G840" s="13"/>
      <c r="H840" s="14" t="str">
        <f>HYPERLINK("https://pulti.ua/tv/pult-dlja-start-05d5a-1482-ic")</f>
        <v>https://pulti.ua/tv/pult-dlja-start-05d5a-1482-ic</v>
      </c>
    </row>
    <row r="841" spans="1:8" s="18" customFormat="1" ht="15" customHeight="1">
      <c r="A841" s="39">
        <v>3486</v>
      </c>
      <c r="B841" s="26" t="s">
        <v>783</v>
      </c>
      <c r="C841" s="13" t="s">
        <v>11</v>
      </c>
      <c r="D841" s="14"/>
      <c r="E841" s="9">
        <v>63.8</v>
      </c>
      <c r="F841" s="9">
        <f t="shared" si="29"/>
        <v>0</v>
      </c>
      <c r="G841" s="13"/>
      <c r="H841" s="14" t="str">
        <f>HYPERLINK("https://pulti.ua/tv/pult-dlja-start-np-41a-ic")</f>
        <v>https://pulti.ua/tv/pult-dlja-start-np-41a-ic</v>
      </c>
    </row>
    <row r="842" spans="1:8" s="18" customFormat="1" ht="15" customHeight="1">
      <c r="A842" s="11">
        <v>2772</v>
      </c>
      <c r="B842" s="12" t="s">
        <v>784</v>
      </c>
      <c r="C842" s="13" t="s">
        <v>11</v>
      </c>
      <c r="D842" s="14"/>
      <c r="E842" s="9">
        <v>52.5</v>
      </c>
      <c r="F842" s="9">
        <f t="shared" si="29"/>
        <v>0</v>
      </c>
      <c r="G842" s="13"/>
      <c r="H842" s="14" t="str">
        <f>HYPERLINK("https://pulti.ua/tv/pult-dlja-start-np-51a-txt")</f>
        <v>https://pulti.ua/tv/pult-dlja-start-np-51a-txt</v>
      </c>
    </row>
    <row r="843" spans="1:8" s="18" customFormat="1" ht="15" customHeight="1">
      <c r="A843" s="11">
        <v>2773</v>
      </c>
      <c r="B843" s="12" t="s">
        <v>785</v>
      </c>
      <c r="C843" s="13" t="s">
        <v>11</v>
      </c>
      <c r="D843" s="14"/>
      <c r="E843" s="9">
        <v>58.1</v>
      </c>
      <c r="F843" s="9">
        <f t="shared" si="29"/>
        <v>0</v>
      </c>
      <c r="G843" s="13"/>
      <c r="H843" s="14" t="str">
        <f>HYPERLINK("https://pulti.ua/tv/pult-dlja-start-p81")</f>
        <v>https://pulti.ua/tv/pult-dlja-start-p81</v>
      </c>
    </row>
    <row r="844" spans="1:8" s="18" customFormat="1" ht="15" customHeight="1">
      <c r="A844" s="11">
        <v>2774</v>
      </c>
      <c r="B844" s="12" t="s">
        <v>786</v>
      </c>
      <c r="C844" s="13" t="s">
        <v>11</v>
      </c>
      <c r="D844" s="14"/>
      <c r="E844" s="9">
        <v>56.3</v>
      </c>
      <c r="F844" s="9">
        <f t="shared" si="29"/>
        <v>0</v>
      </c>
      <c r="G844" s="13"/>
      <c r="H844" s="14" t="str">
        <f>HYPERLINK("https://pulti.ua/tv/pult-dlja-start-pp1")</f>
        <v>https://pulti.ua/tv/pult-dlja-start-pp1</v>
      </c>
    </row>
    <row r="845" spans="1:8" s="18" customFormat="1" ht="15" customHeight="1">
      <c r="A845" s="11">
        <v>1519</v>
      </c>
      <c r="B845" s="12" t="s">
        <v>787</v>
      </c>
      <c r="C845" s="13" t="s">
        <v>22</v>
      </c>
      <c r="D845" s="14"/>
      <c r="E845" s="9">
        <v>213.8</v>
      </c>
      <c r="F845" s="9">
        <f t="shared" si="29"/>
        <v>0</v>
      </c>
      <c r="G845" s="13"/>
      <c r="H845" s="14" t="str">
        <f>HYPERLINK("https://pulti.ua/tv/pult-dlja-super--kr-02a--vitek")</f>
        <v>https://pulti.ua/tv/pult-dlja-super--kr-02a--vitek</v>
      </c>
    </row>
    <row r="846" spans="1:8" s="18" customFormat="1" ht="15" customHeight="1">
      <c r="A846" s="11">
        <v>2782</v>
      </c>
      <c r="B846" s="12" t="s">
        <v>788</v>
      </c>
      <c r="C846" s="13" t="s">
        <v>22</v>
      </c>
      <c r="D846" s="14"/>
      <c r="E846" s="9">
        <v>195</v>
      </c>
      <c r="F846" s="9">
        <f t="shared" si="29"/>
        <v>0</v>
      </c>
      <c r="G846" s="13"/>
      <c r="H846" s="14" t="str">
        <f>HYPERLINK("https://pulti.ua/tv/pult-dlja-super-kr-02s-dtv")</f>
        <v>https://pulti.ua/tv/pult-dlja-super-kr-02s-dtv</v>
      </c>
    </row>
    <row r="847" spans="1:8" s="18" customFormat="1" ht="15" customHeight="1">
      <c r="A847" s="11">
        <v>2920</v>
      </c>
      <c r="B847" s="12" t="s">
        <v>789</v>
      </c>
      <c r="C847" s="13" t="s">
        <v>22</v>
      </c>
      <c r="D847" s="14"/>
      <c r="E847" s="9">
        <v>78.8</v>
      </c>
      <c r="F847" s="9">
        <f t="shared" si="29"/>
        <v>0</v>
      </c>
      <c r="G847" s="13"/>
      <c r="H847" s="14" t="str">
        <f>HYPERLINK("https://pulti.ua/tv/pult-dlja-super-kr-08a")</f>
        <v>https://pulti.ua/tv/pult-dlja-super-kr-08a</v>
      </c>
    </row>
    <row r="848" spans="1:8" s="18" customFormat="1" ht="15" customHeight="1">
      <c r="A848" s="11">
        <v>2792</v>
      </c>
      <c r="B848" s="12" t="s">
        <v>790</v>
      </c>
      <c r="C848" s="13" t="s">
        <v>22</v>
      </c>
      <c r="D848" s="14"/>
      <c r="E848" s="9">
        <v>135</v>
      </c>
      <c r="F848" s="9">
        <f t="shared" si="29"/>
        <v>0</v>
      </c>
      <c r="G848" s="13"/>
      <c r="H848" s="14" t="str">
        <f>HYPERLINK("https://pulti.ua/tv/pult-dlja-super-kr-18")</f>
        <v>https://pulti.ua/tv/pult-dlja-super-kr-18</v>
      </c>
    </row>
    <row r="849" spans="1:8" s="18" customFormat="1" ht="15" customHeight="1">
      <c r="A849" s="11">
        <v>2793</v>
      </c>
      <c r="B849" s="12" t="s">
        <v>791</v>
      </c>
      <c r="C849" s="13" t="s">
        <v>22</v>
      </c>
      <c r="D849" s="14"/>
      <c r="E849" s="9">
        <v>135</v>
      </c>
      <c r="F849" s="9">
        <f t="shared" si="29"/>
        <v>0</v>
      </c>
      <c r="G849" s="13"/>
      <c r="H849" s="14" t="str">
        <f>HYPERLINK("https://pulti.ua/tv/pult-dlja-super-kr-19-coby")</f>
        <v>https://pulti.ua/tv/pult-dlja-super-kr-19-coby</v>
      </c>
    </row>
    <row r="850" spans="1:8" s="18" customFormat="1" ht="15" customHeight="1">
      <c r="A850" s="11">
        <v>2794</v>
      </c>
      <c r="B850" s="12" t="s">
        <v>792</v>
      </c>
      <c r="C850" s="13" t="s">
        <v>22</v>
      </c>
      <c r="D850" s="14"/>
      <c r="E850" s="9">
        <v>97.5</v>
      </c>
      <c r="F850" s="9">
        <f t="shared" si="29"/>
        <v>0</v>
      </c>
      <c r="G850" s="13"/>
      <c r="H850" s="14" t="str">
        <f>HYPERLINK("https://pulti.ua/tv/pult-dlja-super-n-150")</f>
        <v>https://pulti.ua/tv/pult-dlja-super-n-150</v>
      </c>
    </row>
    <row r="851" spans="1:8" s="18" customFormat="1" ht="15" customHeight="1">
      <c r="A851" s="39">
        <v>3320</v>
      </c>
      <c r="B851" s="26" t="s">
        <v>793</v>
      </c>
      <c r="C851" s="13" t="s">
        <v>22</v>
      </c>
      <c r="D851" s="14"/>
      <c r="E851" s="9">
        <v>172.5</v>
      </c>
      <c r="F851" s="9">
        <f t="shared" si="29"/>
        <v>0</v>
      </c>
      <c r="G851" s="13"/>
      <c r="H851" s="14" t="str">
        <f>HYPERLINK("https://pulti.ua/tv/pult-dlja-supra--vr-lt-15n08v")</f>
        <v>https://pulti.ua/tv/pult-dlja-supra--vr-lt-15n08v</v>
      </c>
    </row>
    <row r="852" spans="1:8" s="18" customFormat="1" ht="15" customHeight="1">
      <c r="A852" s="39">
        <v>3530</v>
      </c>
      <c r="B852" s="26" t="s">
        <v>794</v>
      </c>
      <c r="C852" s="13" t="s">
        <v>11</v>
      </c>
      <c r="D852" s="14"/>
      <c r="E852" s="9">
        <v>63.8</v>
      </c>
      <c r="F852" s="9">
        <f t="shared" si="29"/>
        <v>0</v>
      </c>
      <c r="G852" s="13"/>
      <c r="H852" s="14" t="str">
        <f>HYPERLINK("https://pulti.ua/tv/pult-dlja-supra-14n8-ic")</f>
        <v>https://pulti.ua/tv/pult-dlja-supra-14n8-ic</v>
      </c>
    </row>
    <row r="853" spans="1:8" s="18" customFormat="1" ht="15" customHeight="1">
      <c r="A853" s="11">
        <v>2018</v>
      </c>
      <c r="B853" s="12" t="s">
        <v>795</v>
      </c>
      <c r="C853" s="13" t="s">
        <v>11</v>
      </c>
      <c r="D853" s="14"/>
      <c r="E853" s="9">
        <v>67.5</v>
      </c>
      <c r="F853" s="9">
        <f t="shared" si="29"/>
        <v>0</v>
      </c>
      <c r="G853" s="13"/>
      <c r="H853" s="14" t="str">
        <f>HYPERLINK("https://pulti.ua/tv/pult-dlja-supra-1ce3-grey")</f>
        <v>https://pulti.ua/tv/pult-dlja-supra-1ce3-grey</v>
      </c>
    </row>
    <row r="854" spans="1:8" s="18" customFormat="1" ht="15" customHeight="1">
      <c r="A854" s="11">
        <v>2019</v>
      </c>
      <c r="B854" s="12" t="s">
        <v>796</v>
      </c>
      <c r="C854" s="13" t="s">
        <v>22</v>
      </c>
      <c r="D854" s="14"/>
      <c r="E854" s="9">
        <v>93.8</v>
      </c>
      <c r="F854" s="9">
        <f t="shared" si="29"/>
        <v>0</v>
      </c>
      <c r="G854" s="13"/>
      <c r="H854" s="14" t="str">
        <f>HYPERLINK("https://pulti.ua/tv/pult-dlja-supra-en-21613c")</f>
        <v>https://pulti.ua/tv/pult-dlja-supra-en-21613c</v>
      </c>
    </row>
    <row r="855" spans="1:8" s="18" customFormat="1" ht="15" customHeight="1">
      <c r="A855" s="39">
        <v>3087</v>
      </c>
      <c r="B855" s="26" t="s">
        <v>797</v>
      </c>
      <c r="C855" s="13" t="s">
        <v>14</v>
      </c>
      <c r="D855" s="14"/>
      <c r="E855" s="9">
        <v>251.3</v>
      </c>
      <c r="F855" s="9">
        <f t="shared" si="29"/>
        <v>0</v>
      </c>
      <c r="G855" s="13"/>
      <c r="H855" s="14" t="str">
        <f>HYPERLINK("https://pulti.ua/tv/pult-dlja-supra-hof10g705gpd9")</f>
        <v>https://pulti.ua/tv/pult-dlja-supra-hof10g705gpd9</v>
      </c>
    </row>
    <row r="856" spans="1:8" s="18" customFormat="1" ht="15" customHeight="1">
      <c r="A856" s="39">
        <v>3351</v>
      </c>
      <c r="B856" s="26" t="s">
        <v>798</v>
      </c>
      <c r="C856" s="13" t="s">
        <v>22</v>
      </c>
      <c r="D856" s="14"/>
      <c r="E856" s="9">
        <v>251.3</v>
      </c>
      <c r="F856" s="9">
        <f t="shared" si="29"/>
        <v>0</v>
      </c>
      <c r="G856" s="13"/>
      <c r="H856" s="14" t="str">
        <f>HYPERLINK("https://pulti.ua/tv/pult-dlja-supra-hof12h126gpd11")</f>
        <v>https://pulti.ua/tv/pult-dlja-supra-hof12h126gpd11</v>
      </c>
    </row>
    <row r="857" spans="1:8" s="18" customFormat="1" ht="15" customHeight="1">
      <c r="A857" s="39">
        <v>3942</v>
      </c>
      <c r="B857" s="26" t="s">
        <v>1382</v>
      </c>
      <c r="C857" s="13" t="s">
        <v>22</v>
      </c>
      <c r="D857" s="14"/>
      <c r="E857" s="9">
        <v>127.5</v>
      </c>
      <c r="F857" s="9">
        <f t="shared" si="29"/>
        <v>0</v>
      </c>
      <c r="G857" s="13"/>
      <c r="H857" s="14" t="str">
        <f>HYPERLINK("https://pulti.ua/tv/pult-dlja-supra-hof-55d1")</f>
        <v>https://pulti.ua/tv/pult-dlja-supra-hof-55d1</v>
      </c>
    </row>
    <row r="858" spans="1:8" s="18" customFormat="1" ht="15" customHeight="1">
      <c r="A858" s="39">
        <v>3580</v>
      </c>
      <c r="B858" s="26" t="s">
        <v>799</v>
      </c>
      <c r="C858" s="13" t="s">
        <v>11</v>
      </c>
      <c r="D858" s="14"/>
      <c r="E858" s="9">
        <v>56.3</v>
      </c>
      <c r="F858" s="9">
        <f t="shared" si="29"/>
        <v>0</v>
      </c>
      <c r="G858" s="13"/>
      <c r="H858" s="14" t="str">
        <f>HYPERLINK("https://pulti.ua/tv/pult-dlja-supra-jh-11370")</f>
        <v>https://pulti.ua/tv/pult-dlja-supra-jh-11370</v>
      </c>
    </row>
    <row r="859" spans="1:8" s="18" customFormat="1" ht="15" customHeight="1">
      <c r="A859" s="11">
        <v>3043</v>
      </c>
      <c r="B859" s="12" t="s">
        <v>800</v>
      </c>
      <c r="C859" s="13" t="s">
        <v>11</v>
      </c>
      <c r="D859" s="14"/>
      <c r="E859" s="9">
        <v>71.3</v>
      </c>
      <c r="F859" s="9">
        <f t="shared" si="29"/>
        <v>0</v>
      </c>
      <c r="G859" s="13"/>
      <c r="H859" s="14" t="str">
        <f>HYPERLINK("https://pulti.ua/tv/pult-dlja-supra-s-26l2a")</f>
        <v>https://pulti.ua/tv/pult-dlja-supra-s-26l2a</v>
      </c>
    </row>
    <row r="860" spans="1:8" s="18" customFormat="1" ht="15" customHeight="1">
      <c r="A860" s="39">
        <v>3044</v>
      </c>
      <c r="B860" s="26" t="s">
        <v>801</v>
      </c>
      <c r="C860" s="13" t="s">
        <v>11</v>
      </c>
      <c r="D860" s="14"/>
      <c r="E860" s="9">
        <v>63.8</v>
      </c>
      <c r="F860" s="9">
        <f t="shared" si="29"/>
        <v>0</v>
      </c>
      <c r="G860" s="13"/>
      <c r="H860" s="14" t="str">
        <f>HYPERLINK("https://pulti.ua/tv/pult-dlja-supra-rc02-ch-ic")</f>
        <v>https://pulti.ua/tv/pult-dlja-supra-rc02-ch-ic</v>
      </c>
    </row>
    <row r="861" spans="1:8" s="18" customFormat="1" ht="15" customHeight="1">
      <c r="A861" s="39">
        <v>4397</v>
      </c>
      <c r="B861" s="26" t="s">
        <v>802</v>
      </c>
      <c r="C861" s="13" t="s">
        <v>14</v>
      </c>
      <c r="D861" s="14"/>
      <c r="E861" s="9">
        <v>106.9</v>
      </c>
      <c r="F861" s="9">
        <f t="shared" si="29"/>
        <v>0</v>
      </c>
      <c r="G861" s="13"/>
      <c r="H861" s="14" t="str">
        <f>HYPERLINK("https://pulti.ua/tv/pult-dlya-supra-rc02-t338")</f>
        <v>https://pulti.ua/tv/pult-dlya-supra-rc02-t338</v>
      </c>
    </row>
    <row r="862" spans="1:8" s="18" customFormat="1" ht="15" customHeight="1">
      <c r="A862" s="39">
        <v>3432</v>
      </c>
      <c r="B862" s="26" t="s">
        <v>803</v>
      </c>
      <c r="C862" s="13" t="s">
        <v>11</v>
      </c>
      <c r="D862" s="14"/>
      <c r="E862" s="9">
        <v>60</v>
      </c>
      <c r="F862" s="9">
        <f t="shared" si="29"/>
        <v>0</v>
      </c>
      <c r="G862" s="13"/>
      <c r="H862" s="14" t="str">
        <f>HYPERLINK("https://pulti.ua/tv/pult-dlja-supra-rc03-51-ic")</f>
        <v>https://pulti.ua/tv/pult-dlja-supra-rc03-51-ic</v>
      </c>
    </row>
    <row r="863" spans="1:8" s="18" customFormat="1" ht="15" customHeight="1">
      <c r="A863" s="39">
        <v>3322</v>
      </c>
      <c r="B863" s="26" t="s">
        <v>804</v>
      </c>
      <c r="C863" s="13" t="s">
        <v>22</v>
      </c>
      <c r="D863" s="14"/>
      <c r="E863" s="9">
        <v>251.3</v>
      </c>
      <c r="F863" s="9">
        <f t="shared" si="29"/>
        <v>0</v>
      </c>
      <c r="G863" s="13"/>
      <c r="H863" s="14" t="str">
        <f>HYPERLINK("https://pulti.ua/tv/pult-dlja-supra-rc13b")</f>
        <v>https://pulti.ua/tv/pult-dlja-supra-rc13b</v>
      </c>
    </row>
    <row r="864" spans="1:8" s="18" customFormat="1" ht="15" customHeight="1">
      <c r="A864" s="39">
        <v>3979</v>
      </c>
      <c r="B864" s="26" t="s">
        <v>805</v>
      </c>
      <c r="C864" s="13" t="s">
        <v>14</v>
      </c>
      <c r="D864" s="14"/>
      <c r="E864" s="9">
        <v>78.8</v>
      </c>
      <c r="F864" s="9">
        <f t="shared" si="29"/>
        <v>0</v>
      </c>
      <c r="G864" s="13"/>
      <c r="H864" s="14" t="str">
        <f>HYPERLINK("https://pulti.ua/tv/pult-dlja-supra-rc1b")</f>
        <v>https://pulti.ua/tv/pult-dlja-supra-rc1b</v>
      </c>
    </row>
    <row r="865" spans="1:8" s="18" customFormat="1" ht="15" customHeight="1">
      <c r="A865" s="39">
        <v>2893</v>
      </c>
      <c r="B865" s="26" t="s">
        <v>806</v>
      </c>
      <c r="C865" s="13" t="s">
        <v>14</v>
      </c>
      <c r="D865" s="14"/>
      <c r="E865" s="9">
        <v>52.5</v>
      </c>
      <c r="F865" s="9">
        <f t="shared" si="29"/>
        <v>0</v>
      </c>
      <c r="G865" s="13"/>
      <c r="H865" s="14" t="str">
        <f>HYPERLINK("https://pulti.ua/tv/pult-dlja-supra-rcf1b")</f>
        <v>https://pulti.ua/tv/pult-dlja-supra-rcf1b</v>
      </c>
    </row>
    <row r="866" spans="1:8" s="18" customFormat="1" ht="15" customHeight="1">
      <c r="A866" s="11">
        <v>2020</v>
      </c>
      <c r="B866" s="12" t="s">
        <v>807</v>
      </c>
      <c r="C866" s="13" t="s">
        <v>11</v>
      </c>
      <c r="D866" s="14"/>
      <c r="E866" s="9">
        <v>82.5</v>
      </c>
      <c r="F866" s="9">
        <f t="shared" si="29"/>
        <v>0</v>
      </c>
      <c r="G866" s="13"/>
      <c r="H866" s="14" t="str">
        <f>HYPERLINK("https://pulti.ua/tv/pult-dlja-supra-rc-s113")</f>
        <v>https://pulti.ua/tv/pult-dlja-supra-rc-s113</v>
      </c>
    </row>
    <row r="867" spans="1:8" s="18" customFormat="1" ht="15" customHeight="1">
      <c r="A867" s="39">
        <v>4567</v>
      </c>
      <c r="B867" s="26" t="s">
        <v>808</v>
      </c>
      <c r="C867" s="13" t="s">
        <v>14</v>
      </c>
      <c r="D867" s="14"/>
      <c r="E867" s="9">
        <v>120</v>
      </c>
      <c r="F867" s="9">
        <f t="shared" si="29"/>
        <v>0</v>
      </c>
      <c r="G867" s="13"/>
      <c r="H867" s="14" t="str">
        <f>HYPERLINK("https://pulti.ua/tv/pult-dlya-supra-rs41-mouse-stv-lc32st3001f")</f>
        <v>https://pulti.ua/tv/pult-dlya-supra-rs41-mouse-stv-lc32st3001f</v>
      </c>
    </row>
    <row r="868" spans="1:8" s="18" customFormat="1" ht="15" customHeight="1">
      <c r="A868" s="11">
        <v>3045</v>
      </c>
      <c r="B868" s="12" t="s">
        <v>809</v>
      </c>
      <c r="C868" s="13" t="s">
        <v>11</v>
      </c>
      <c r="D868" s="14"/>
      <c r="E868" s="9">
        <v>71.3</v>
      </c>
      <c r="F868" s="9">
        <f t="shared" si="29"/>
        <v>0</v>
      </c>
      <c r="G868" s="13"/>
      <c r="H868" s="14" t="str">
        <f>HYPERLINK("https://pulti.ua/tv/pult-dlja-supra-s-15f9a")</f>
        <v>https://pulti.ua/tv/pult-dlja-supra-s-15f9a</v>
      </c>
    </row>
    <row r="869" spans="1:8" s="18" customFormat="1" ht="15" customHeight="1">
      <c r="A869" s="11">
        <v>2024</v>
      </c>
      <c r="B869" s="12" t="s">
        <v>810</v>
      </c>
      <c r="C869" s="13" t="s">
        <v>11</v>
      </c>
      <c r="D869" s="14"/>
      <c r="E869" s="9">
        <v>71.3</v>
      </c>
      <c r="F869" s="9">
        <f t="shared" si="29"/>
        <v>0</v>
      </c>
      <c r="G869" s="13"/>
      <c r="H869" s="14" t="str">
        <f>HYPERLINK("https://pulti.ua/tv/pult-dlja-supra-s-19l19")</f>
        <v>https://pulti.ua/tv/pult-dlja-supra-s-19l19</v>
      </c>
    </row>
    <row r="870" spans="1:8" s="18" customFormat="1" ht="15" customHeight="1">
      <c r="A870" s="11">
        <v>2025</v>
      </c>
      <c r="B870" s="12" t="s">
        <v>811</v>
      </c>
      <c r="C870" s="13" t="s">
        <v>11</v>
      </c>
      <c r="D870" s="14"/>
      <c r="E870" s="9">
        <v>93.8</v>
      </c>
      <c r="F870" s="9">
        <f t="shared" si="29"/>
        <v>0</v>
      </c>
      <c r="G870" s="13"/>
      <c r="H870" s="14" t="str">
        <f>HYPERLINK("https://pulti.ua/tv/pult-dlja-supra-s-24l20")</f>
        <v>https://pulti.ua/tv/pult-dlja-supra-s-24l20</v>
      </c>
    </row>
    <row r="871" spans="1:8" s="18" customFormat="1" ht="15" customHeight="1">
      <c r="A871" s="39">
        <v>2895</v>
      </c>
      <c r="B871" s="26" t="s">
        <v>812</v>
      </c>
      <c r="C871" s="13" t="s">
        <v>22</v>
      </c>
      <c r="D871" s="14"/>
      <c r="E871" s="9">
        <v>78.8</v>
      </c>
      <c r="F871" s="9">
        <f t="shared" si="29"/>
        <v>0</v>
      </c>
      <c r="G871" s="13"/>
      <c r="H871" s="14" t="str">
        <f>HYPERLINK("https://pulti.ua/tv/pult-dlja-supra-stv-lc1504w")</f>
        <v>https://pulti.ua/tv/pult-dlja-supra-stv-lc1504w</v>
      </c>
    </row>
    <row r="872" spans="1:8" s="18" customFormat="1" ht="15" customHeight="1">
      <c r="A872" s="39">
        <v>2894</v>
      </c>
      <c r="B872" s="26" t="s">
        <v>813</v>
      </c>
      <c r="C872" s="13" t="s">
        <v>14</v>
      </c>
      <c r="D872" s="14"/>
      <c r="E872" s="9">
        <v>93.8</v>
      </c>
      <c r="F872" s="9">
        <f t="shared" si="29"/>
        <v>0</v>
      </c>
      <c r="G872" s="13"/>
      <c r="H872" s="14" t="str">
        <f>HYPERLINK("https://pulti.ua/tv/pult-dlja-supra-rc10b-stv-stv-lc1515w")</f>
        <v>https://pulti.ua/tv/pult-dlja-supra-rc10b-stv-stv-lc1515w</v>
      </c>
    </row>
    <row r="873" spans="1:8" s="18" customFormat="1" ht="15" customHeight="1">
      <c r="A873" s="39">
        <v>3089</v>
      </c>
      <c r="B873" s="26" t="s">
        <v>814</v>
      </c>
      <c r="C873" s="13" t="s">
        <v>14</v>
      </c>
      <c r="D873" s="14"/>
      <c r="E873" s="9">
        <v>262.5</v>
      </c>
      <c r="F873" s="9">
        <f t="shared" si="29"/>
        <v>0</v>
      </c>
      <c r="G873" s="13"/>
      <c r="H873" s="14" t="str">
        <f>HYPERLINK("https://pulti.ua/tv/pult-dlja-supra-stv-lc1985wl")</f>
        <v>https://pulti.ua/tv/pult-dlja-supra-stv-lc1985wl</v>
      </c>
    </row>
    <row r="874" spans="1:8" s="18" customFormat="1" ht="15" customHeight="1">
      <c r="A874" s="39">
        <v>4414</v>
      </c>
      <c r="B874" s="26" t="s">
        <v>815</v>
      </c>
      <c r="C874" s="13" t="s">
        <v>14</v>
      </c>
      <c r="D874" s="14"/>
      <c r="E874" s="9">
        <v>114.4</v>
      </c>
      <c r="F874" s="9">
        <f t="shared" si="29"/>
        <v>0</v>
      </c>
      <c r="G874" s="13"/>
      <c r="H874" s="14" t="str">
        <f>HYPERLINK("https://pulti.ua/tv/pult-dlya-supra-stv-lc19t860wl")</f>
        <v>https://pulti.ua/tv/pult-dlya-supra-stv-lc19t860wl</v>
      </c>
    </row>
    <row r="875" spans="1:8" s="18" customFormat="1" ht="15" customHeight="1">
      <c r="A875" s="39">
        <v>3146</v>
      </c>
      <c r="B875" s="26" t="s">
        <v>816</v>
      </c>
      <c r="C875" s="13" t="s">
        <v>22</v>
      </c>
      <c r="D875" s="14"/>
      <c r="E875" s="9">
        <v>93.8</v>
      </c>
      <c r="F875" s="9">
        <f t="shared" si="29"/>
        <v>0</v>
      </c>
      <c r="G875" s="13"/>
      <c r="H875" s="14" t="str">
        <f>HYPERLINK("https://pulti.ua/tv/pult-dlja-supra-stv-lc3219w")</f>
        <v>https://pulti.ua/tv/pult-dlja-supra-stv-lc3219w</v>
      </c>
    </row>
    <row r="876" spans="1:8" s="18" customFormat="1" ht="15" customHeight="1">
      <c r="A876" s="39">
        <v>4118</v>
      </c>
      <c r="B876" s="26" t="s">
        <v>1383</v>
      </c>
      <c r="C876" s="13" t="s">
        <v>14</v>
      </c>
      <c r="D876" s="14"/>
      <c r="E876" s="9">
        <v>150</v>
      </c>
      <c r="F876" s="9">
        <f t="shared" si="29"/>
        <v>0</v>
      </c>
      <c r="G876" s="13"/>
      <c r="H876" s="14" t="str">
        <f>HYPERLINK("https://pulti.ua/tv/pult-dlya-supra-stv-lc32t880wl")</f>
        <v>https://pulti.ua/tv/pult-dlya-supra-stv-lc32t880wl</v>
      </c>
    </row>
    <row r="877" spans="1:8" s="18" customFormat="1" ht="15" customHeight="1">
      <c r="A877" s="39">
        <v>3593</v>
      </c>
      <c r="B877" s="26" t="s">
        <v>817</v>
      </c>
      <c r="C877" s="13" t="s">
        <v>22</v>
      </c>
      <c r="D877" s="14"/>
      <c r="E877" s="9">
        <v>202.5</v>
      </c>
      <c r="F877" s="9">
        <f t="shared" si="29"/>
        <v>0</v>
      </c>
      <c r="G877" s="13"/>
      <c r="H877" s="14" t="str">
        <f>HYPERLINK("https://pulti.ua/tv/pult-dlja-supra-tv-dvd7")</f>
        <v>https://pulti.ua/tv/pult-dlja-supra-tv-dvd7</v>
      </c>
    </row>
    <row r="878" spans="1:8" s="18" customFormat="1" ht="15" customHeight="1">
      <c r="A878" s="42">
        <v>4836</v>
      </c>
      <c r="B878" s="43" t="s">
        <v>818</v>
      </c>
      <c r="C878" s="13" t="s">
        <v>14</v>
      </c>
      <c r="D878" s="14"/>
      <c r="E878" s="9">
        <v>150</v>
      </c>
      <c r="F878" s="9">
        <f t="shared" si="29"/>
        <v>0</v>
      </c>
      <c r="G878" s="13"/>
      <c r="H878" s="14" t="str">
        <f>HYPERLINK("https://pulti.ua/tv/pult-dlya-supra-xk237b-2")</f>
        <v>https://pulti.ua/tv/pult-dlya-supra-xk237b-2</v>
      </c>
    </row>
    <row r="879" spans="1:8" s="18" customFormat="1" ht="15" customHeight="1">
      <c r="A879" s="39">
        <v>3124</v>
      </c>
      <c r="B879" s="26" t="s">
        <v>819</v>
      </c>
      <c r="C879" s="13" t="s">
        <v>22</v>
      </c>
      <c r="D879" s="14"/>
      <c r="E879" s="9">
        <v>75</v>
      </c>
      <c r="F879" s="9">
        <f t="shared" si="29"/>
        <v>0</v>
      </c>
      <c r="G879" s="13"/>
      <c r="H879" s="14" t="str">
        <f>HYPERLINK("https://pulti.ua/tv/pult-dlja-supra-y-72c")</f>
        <v>https://pulti.ua/tv/pult-dlja-supra-y-72c</v>
      </c>
    </row>
    <row r="880" spans="1:8" s="18" customFormat="1" ht="15" customHeight="1">
      <c r="A880" s="39">
        <v>4415</v>
      </c>
      <c r="B880" s="26" t="s">
        <v>820</v>
      </c>
      <c r="C880" s="13" t="s">
        <v>14</v>
      </c>
      <c r="D880" s="14"/>
      <c r="E880" s="9">
        <v>123.8</v>
      </c>
      <c r="F880" s="9">
        <f t="shared" si="29"/>
        <v>0</v>
      </c>
      <c r="G880" s="13"/>
      <c r="H880" s="14" t="str">
        <f>HYPERLINK("https://pulti.ua/tv/pult-dlya-supra-y-72c2-timeshift")</f>
        <v>https://pulti.ua/tv/pult-dlya-supra-y-72c2-timeshift</v>
      </c>
    </row>
    <row r="881" spans="1:8" s="18" customFormat="1" ht="15" customHeight="1">
      <c r="A881" s="39">
        <v>3944</v>
      </c>
      <c r="B881" s="26" t="s">
        <v>821</v>
      </c>
      <c r="C881" s="13" t="s">
        <v>14</v>
      </c>
      <c r="D881" s="14"/>
      <c r="E881" s="9">
        <v>80.6</v>
      </c>
      <c r="F881" s="9">
        <f t="shared" si="29"/>
        <v>0</v>
      </c>
      <c r="G881" s="13"/>
      <c r="H881" s="14" t="str">
        <f>HYPERLINK("https://pulti.ua/tv/pult-dlja-supra-y-72c3")</f>
        <v>https://pulti.ua/tv/pult-dlja-supra-y-72c3</v>
      </c>
    </row>
    <row r="882" spans="1:8" s="18" customFormat="1" ht="15" customHeight="1">
      <c r="A882" s="11">
        <v>3046</v>
      </c>
      <c r="B882" s="12" t="s">
        <v>822</v>
      </c>
      <c r="C882" s="13" t="s">
        <v>22</v>
      </c>
      <c r="D882" s="14"/>
      <c r="E882" s="9">
        <v>101.3</v>
      </c>
      <c r="F882" s="9">
        <f t="shared" si="29"/>
        <v>0</v>
      </c>
      <c r="G882" s="13"/>
      <c r="H882" s="14" t="str">
        <f>HYPERLINK("https://pulti.ua/tv/pult-dlja-suzuki-rc-d3-03")</f>
        <v>https://pulti.ua/tv/pult-dlja-suzuki-rc-d3-03</v>
      </c>
    </row>
    <row r="883" spans="1:8" s="18" customFormat="1" ht="15" customHeight="1">
      <c r="A883" s="39">
        <v>3256</v>
      </c>
      <c r="B883" s="26" t="s">
        <v>823</v>
      </c>
      <c r="C883" s="13" t="s">
        <v>14</v>
      </c>
      <c r="D883" s="14"/>
      <c r="E883" s="9">
        <v>69.4</v>
      </c>
      <c r="F883" s="9">
        <f t="shared" si="29"/>
        <v>0</v>
      </c>
      <c r="G883" s="13"/>
      <c r="H883" s="14" t="str">
        <f>HYPERLINK("https://pulti.ua/tv/pult-dlja-tcl-06-520w37-b002x--f4")</f>
        <v>https://pulti.ua/tv/pult-dlja-tcl-06-520w37-b002x--f4</v>
      </c>
    </row>
    <row r="884" spans="1:8" s="18" customFormat="1" ht="15" customHeight="1">
      <c r="A884" s="39">
        <v>3257</v>
      </c>
      <c r="B884" s="26" t="s">
        <v>1384</v>
      </c>
      <c r="C884" s="13" t="s">
        <v>14</v>
      </c>
      <c r="D884" s="14"/>
      <c r="E884" s="9">
        <v>86.3</v>
      </c>
      <c r="F884" s="9">
        <f t="shared" si="29"/>
        <v>0</v>
      </c>
      <c r="G884" s="13"/>
      <c r="H884" s="14" t="str">
        <f>HYPERLINK("https://pulti.ua/tv/pult-dlja-tcl-06-520w37-t001x--demo")</f>
        <v>https://pulti.ua/tv/pult-dlja-tcl-06-520w37-t001x--demo</v>
      </c>
    </row>
    <row r="885" spans="1:8" s="18" customFormat="1" ht="15" customHeight="1">
      <c r="A885" s="39">
        <v>2798</v>
      </c>
      <c r="B885" s="26" t="s">
        <v>824</v>
      </c>
      <c r="C885" s="13" t="s">
        <v>22</v>
      </c>
      <c r="D885" s="14"/>
      <c r="E885" s="9">
        <v>45</v>
      </c>
      <c r="F885" s="9">
        <f t="shared" si="29"/>
        <v>0</v>
      </c>
      <c r="G885" s="13"/>
      <c r="H885" s="14" t="str">
        <f>HYPERLINK("https://pulti.ua/tv/pult-dlja-tcl-20b10f50")</f>
        <v>https://pulti.ua/tv/pult-dlja-tcl-20b10f50</v>
      </c>
    </row>
    <row r="886" spans="1:8" s="18" customFormat="1" ht="15" customHeight="1">
      <c r="A886" s="39">
        <v>3259</v>
      </c>
      <c r="B886" s="26" t="s">
        <v>825</v>
      </c>
      <c r="C886" s="13" t="s">
        <v>22</v>
      </c>
      <c r="D886" s="14"/>
      <c r="E886" s="9">
        <v>78.8</v>
      </c>
      <c r="F886" s="9">
        <f t="shared" si="29"/>
        <v>0</v>
      </c>
      <c r="G886" s="13"/>
      <c r="H886" s="14" t="str">
        <f>HYPERLINK("https://pulti.ua/tv/pult-dlja-tcl-rc3000m11")</f>
        <v>https://pulti.ua/tv/pult-dlja-tcl-rc3000m11</v>
      </c>
    </row>
    <row r="887" spans="1:8" s="18" customFormat="1" ht="15" customHeight="1">
      <c r="A887" s="39">
        <v>3260</v>
      </c>
      <c r="B887" s="26" t="s">
        <v>826</v>
      </c>
      <c r="C887" s="13" t="s">
        <v>22</v>
      </c>
      <c r="D887" s="14"/>
      <c r="E887" s="9">
        <v>86.3</v>
      </c>
      <c r="F887" s="9">
        <f t="shared" si="29"/>
        <v>0</v>
      </c>
      <c r="G887" s="13"/>
      <c r="H887" s="14" t="str">
        <f>HYPERLINK("https://pulti.ua/tv/pult-dlja-tcl-rc3000m13")</f>
        <v>https://pulti.ua/tv/pult-dlja-tcl-rc3000m13</v>
      </c>
    </row>
    <row r="888" spans="1:8" s="18" customFormat="1" ht="15" customHeight="1">
      <c r="A888" s="39">
        <v>4399</v>
      </c>
      <c r="B888" s="26" t="s">
        <v>827</v>
      </c>
      <c r="C888" s="13" t="s">
        <v>14</v>
      </c>
      <c r="D888" s="14"/>
      <c r="E888" s="9">
        <v>135</v>
      </c>
      <c r="F888" s="9">
        <f t="shared" si="29"/>
        <v>0</v>
      </c>
      <c r="G888" s="13"/>
      <c r="H888" s="14" t="str">
        <f>HYPERLINK("https://pulti.ua/tv/pult-dlya-telefunken-507dtv-tf-led28s9t2")</f>
        <v>https://pulti.ua/tv/pult-dlya-telefunken-507dtv-tf-led28s9t2</v>
      </c>
    </row>
    <row r="889" spans="1:8" s="18" customFormat="1" ht="15" customHeight="1">
      <c r="A889" s="11">
        <v>4546</v>
      </c>
      <c r="B889" s="12" t="s">
        <v>1385</v>
      </c>
      <c r="C889" s="13" t="s">
        <v>14</v>
      </c>
      <c r="D889" s="14"/>
      <c r="E889" s="9">
        <v>172.5</v>
      </c>
      <c r="F889" s="9">
        <f t="shared" si="29"/>
        <v>0</v>
      </c>
      <c r="G889" s="13"/>
      <c r="H889" s="14" t="str">
        <f>HYPERLINK("https://pulti.ua/tv/pult-dlya-telefunken-rc5117")</f>
        <v>https://pulti.ua/tv/pult-dlya-telefunken-rc5117</v>
      </c>
    </row>
    <row r="890" spans="1:8" s="18" customFormat="1" ht="15" customHeight="1">
      <c r="A890" s="39">
        <v>4400</v>
      </c>
      <c r="B890" s="26" t="s">
        <v>1386</v>
      </c>
      <c r="C890" s="13" t="s">
        <v>14</v>
      </c>
      <c r="D890" s="14"/>
      <c r="E890" s="9">
        <v>82.5</v>
      </c>
      <c r="F890" s="9">
        <f t="shared" si="29"/>
        <v>0</v>
      </c>
      <c r="G890" s="13"/>
      <c r="H890" s="14" t="str">
        <f>HYPERLINK("https://pulti.ua/tv/pult-dlya-telefunken-tf-led28s48t2")</f>
        <v>https://pulti.ua/tv/pult-dlya-telefunken-tf-led28s48t2</v>
      </c>
    </row>
    <row r="891" spans="1:8" s="18" customFormat="1" ht="15" customHeight="1">
      <c r="A891" s="11">
        <v>2799</v>
      </c>
      <c r="B891" s="12" t="s">
        <v>828</v>
      </c>
      <c r="C891" s="13" t="s">
        <v>11</v>
      </c>
      <c r="D891" s="14"/>
      <c r="E891" s="9">
        <v>97.5</v>
      </c>
      <c r="F891" s="9">
        <f t="shared" si="29"/>
        <v>0</v>
      </c>
      <c r="G891" s="13"/>
      <c r="H891" s="14" t="str">
        <f>HYPERLINK("https://pulti.ua/tv/pult-dlja-telesonic-am-2018")</f>
        <v>https://pulti.ua/tv/pult-dlja-telesonic-am-2018</v>
      </c>
    </row>
    <row r="892" spans="1:8" s="18" customFormat="1" ht="15" customHeight="1">
      <c r="A892" s="11">
        <v>2044</v>
      </c>
      <c r="B892" s="12" t="s">
        <v>829</v>
      </c>
      <c r="C892" s="13" t="s">
        <v>11</v>
      </c>
      <c r="D892" s="14"/>
      <c r="E892" s="9">
        <v>82.5</v>
      </c>
      <c r="F892" s="9">
        <f t="shared" si="29"/>
        <v>0</v>
      </c>
      <c r="G892" s="13"/>
      <c r="H892" s="14" t="str">
        <f>HYPERLINK("https://pulti.ua/tv/pult-dlja-thomson-29dmv88kh")</f>
        <v>https://pulti.ua/tv/pult-dlja-thomson-29dmv88kh</v>
      </c>
    </row>
    <row r="893" spans="1:8" s="18" customFormat="1" ht="15" customHeight="1">
      <c r="A893" s="39">
        <v>2045</v>
      </c>
      <c r="B893" s="26" t="s">
        <v>1387</v>
      </c>
      <c r="C893" s="13" t="s">
        <v>11</v>
      </c>
      <c r="D893" s="14"/>
      <c r="E893" s="9">
        <v>33.8</v>
      </c>
      <c r="F893" s="9">
        <f t="shared" si="29"/>
        <v>0</v>
      </c>
      <c r="G893" s="13"/>
      <c r="H893" s="14" t="str">
        <f>HYPERLINK("https://pulti.ua/tv/pult-dlja-thomson-mb-105-ic")</f>
        <v>https://pulti.ua/tv/pult-dlja-thomson-mb-105-ic</v>
      </c>
    </row>
    <row r="894" spans="1:8" s="18" customFormat="1" ht="15" customHeight="1">
      <c r="A894" s="39">
        <v>2046</v>
      </c>
      <c r="B894" s="26" t="s">
        <v>830</v>
      </c>
      <c r="C894" s="13" t="s">
        <v>11</v>
      </c>
      <c r="D894" s="14"/>
      <c r="E894" s="9">
        <v>56.3</v>
      </c>
      <c r="F894" s="9">
        <f t="shared" si="29"/>
        <v>0</v>
      </c>
      <c r="G894" s="13"/>
      <c r="H894" s="14" t="str">
        <f>HYPERLINK("https://pulti.ua/tv/pult-dlja-thomson-r-166")</f>
        <v>https://pulti.ua/tv/pult-dlja-thomson-r-166</v>
      </c>
    </row>
    <row r="895" spans="1:8" s="18" customFormat="1" ht="15" customHeight="1">
      <c r="A895" s="39">
        <v>2047</v>
      </c>
      <c r="B895" s="26" t="s">
        <v>831</v>
      </c>
      <c r="C895" s="13" t="s">
        <v>22</v>
      </c>
      <c r="D895" s="14"/>
      <c r="E895" s="9">
        <v>127.5</v>
      </c>
      <c r="F895" s="9">
        <f aca="true" t="shared" si="30" ref="F895:F958">D895*E895</f>
        <v>0</v>
      </c>
      <c r="G895" s="13"/>
      <c r="H895" s="14" t="str">
        <f>HYPERLINK("https://pulti.ua/tv/pult-dlja-thomson-rc0q0036")</f>
        <v>https://pulti.ua/tv/pult-dlja-thomson-rc0q0036</v>
      </c>
    </row>
    <row r="896" spans="1:8" s="18" customFormat="1" ht="15" customHeight="1">
      <c r="A896" s="11">
        <v>2056</v>
      </c>
      <c r="B896" s="12" t="s">
        <v>832</v>
      </c>
      <c r="C896" s="13" t="s">
        <v>11</v>
      </c>
      <c r="D896" s="14"/>
      <c r="E896" s="9">
        <v>48.8</v>
      </c>
      <c r="F896" s="9">
        <f t="shared" si="30"/>
        <v>0</v>
      </c>
      <c r="G896" s="13"/>
      <c r="H896" s="14" t="str">
        <f>HYPERLINK("https://pulti.ua/tv/pult-dlja-thomson-rct-111ta1g")</f>
        <v>https://pulti.ua/tv/pult-dlja-thomson-rct-111ta1g</v>
      </c>
    </row>
    <row r="897" spans="1:8" s="18" customFormat="1" ht="15" customHeight="1">
      <c r="A897" s="39">
        <v>1352</v>
      </c>
      <c r="B897" s="26" t="s">
        <v>833</v>
      </c>
      <c r="C897" s="13" t="s">
        <v>11</v>
      </c>
      <c r="D897" s="14"/>
      <c r="E897" s="9">
        <v>61.1</v>
      </c>
      <c r="F897" s="9">
        <f t="shared" si="30"/>
        <v>0</v>
      </c>
      <c r="G897" s="13"/>
      <c r="H897" s="14" t="str">
        <f>HYPERLINK("https://pulti.ua/tv/pult-dlja-thomson-rct-111ta1g-ic")</f>
        <v>https://pulti.ua/tv/pult-dlja-thomson-rct-111ta1g-ic</v>
      </c>
    </row>
    <row r="898" spans="1:8" s="18" customFormat="1" ht="15" customHeight="1">
      <c r="A898" s="39">
        <v>2049</v>
      </c>
      <c r="B898" s="26" t="s">
        <v>834</v>
      </c>
      <c r="C898" s="13" t="s">
        <v>22</v>
      </c>
      <c r="D898" s="14"/>
      <c r="E898" s="9">
        <v>82.5</v>
      </c>
      <c r="F898" s="9">
        <f t="shared" si="30"/>
        <v>0</v>
      </c>
      <c r="G898" s="13"/>
      <c r="H898" s="14" t="str">
        <f>HYPERLINK("https://pulti.ua/tv/pult-dlja-thomson-rc-1994301")</f>
        <v>https://pulti.ua/tv/pult-dlja-thomson-rc-1994301</v>
      </c>
    </row>
    <row r="899" spans="1:8" s="18" customFormat="1" ht="15" customHeight="1">
      <c r="A899" s="39">
        <v>2050</v>
      </c>
      <c r="B899" s="26" t="s">
        <v>835</v>
      </c>
      <c r="C899" s="13" t="s">
        <v>22</v>
      </c>
      <c r="D899" s="14"/>
      <c r="E899" s="9">
        <v>75</v>
      </c>
      <c r="F899" s="9">
        <f t="shared" si="30"/>
        <v>0</v>
      </c>
      <c r="G899" s="13"/>
      <c r="H899" s="14" t="str">
        <f>HYPERLINK("https://pulti.ua/tv/pult-dlja-thomson-rc-1994925")</f>
        <v>https://pulti.ua/tv/pult-dlja-thomson-rc-1994925</v>
      </c>
    </row>
    <row r="900" spans="1:8" s="18" customFormat="1" ht="15" customHeight="1">
      <c r="A900" s="39">
        <v>2069</v>
      </c>
      <c r="B900" s="26" t="s">
        <v>836</v>
      </c>
      <c r="C900" s="13" t="s">
        <v>11</v>
      </c>
      <c r="D900" s="14"/>
      <c r="E900" s="9">
        <v>423.8</v>
      </c>
      <c r="F900" s="9">
        <f t="shared" si="30"/>
        <v>0</v>
      </c>
      <c r="G900" s="13"/>
      <c r="H900" s="14" t="str">
        <f>HYPERLINK("https://pulti.ua/tv/pult-dlja-thomson-rc-4131")</f>
        <v>https://pulti.ua/tv/pult-dlja-thomson-rc-4131</v>
      </c>
    </row>
    <row r="901" spans="1:8" s="18" customFormat="1" ht="15" customHeight="1">
      <c r="A901" s="39">
        <v>1344</v>
      </c>
      <c r="B901" s="26" t="s">
        <v>837</v>
      </c>
      <c r="C901" s="13" t="s">
        <v>11</v>
      </c>
      <c r="D901" s="14"/>
      <c r="E901" s="9">
        <v>58.1</v>
      </c>
      <c r="F901" s="9">
        <f t="shared" si="30"/>
        <v>0</v>
      </c>
      <c r="G901" s="13"/>
      <c r="H901" s="14" t="str">
        <f>HYPERLINK("https://pulti.ua/tv/pult-dlja-thomson-rct-100-ic")</f>
        <v>https://pulti.ua/tv/pult-dlja-thomson-rct-100-ic</v>
      </c>
    </row>
    <row r="902" spans="1:8" s="18" customFormat="1" ht="15" customHeight="1">
      <c r="A902" s="11">
        <v>2052</v>
      </c>
      <c r="B902" s="12" t="s">
        <v>838</v>
      </c>
      <c r="C902" s="13" t="s">
        <v>11</v>
      </c>
      <c r="D902" s="14"/>
      <c r="E902" s="9">
        <v>56.3</v>
      </c>
      <c r="F902" s="9">
        <f t="shared" si="30"/>
        <v>0</v>
      </c>
      <c r="G902" s="13"/>
      <c r="H902" s="14" t="str">
        <f>HYPERLINK("https://pulti.ua/tv/pult-dlja-thomson-rct-100")</f>
        <v>https://pulti.ua/tv/pult-dlja-thomson-rct-100</v>
      </c>
    </row>
    <row r="903" spans="1:8" s="18" customFormat="1" ht="15" customHeight="1">
      <c r="A903" s="39">
        <v>2058</v>
      </c>
      <c r="B903" s="26" t="s">
        <v>839</v>
      </c>
      <c r="C903" s="13" t="s">
        <v>11</v>
      </c>
      <c r="D903" s="14"/>
      <c r="E903" s="9">
        <v>63.8</v>
      </c>
      <c r="F903" s="9">
        <f t="shared" si="30"/>
        <v>0</v>
      </c>
      <c r="G903" s="13"/>
      <c r="H903" s="14" t="str">
        <f>HYPERLINK("https://pulti.ua/tv/pult-dlja-thomson-rct-116ta1g-ic")</f>
        <v>https://pulti.ua/tv/pult-dlja-thomson-rct-116ta1g-ic</v>
      </c>
    </row>
    <row r="904" spans="1:8" s="18" customFormat="1" ht="15" customHeight="1">
      <c r="A904" s="11">
        <v>2062</v>
      </c>
      <c r="B904" s="12" t="s">
        <v>840</v>
      </c>
      <c r="C904" s="13" t="s">
        <v>11</v>
      </c>
      <c r="D904" s="14"/>
      <c r="E904" s="9">
        <v>71.3</v>
      </c>
      <c r="F904" s="9">
        <f t="shared" si="30"/>
        <v>0</v>
      </c>
      <c r="G904" s="13"/>
      <c r="H904" s="14" t="str">
        <f>HYPERLINK("https://pulti.ua/tv/pult-dlja-thomson-rct-311sb1g")</f>
        <v>https://pulti.ua/tv/pult-dlja-thomson-rct-311sb1g</v>
      </c>
    </row>
    <row r="905" spans="1:8" s="18" customFormat="1" ht="15" customHeight="1">
      <c r="A905" s="11">
        <v>2063</v>
      </c>
      <c r="B905" s="12" t="s">
        <v>841</v>
      </c>
      <c r="C905" s="13" t="s">
        <v>11</v>
      </c>
      <c r="D905" s="14"/>
      <c r="E905" s="9">
        <v>71.3</v>
      </c>
      <c r="F905" s="9">
        <f t="shared" si="30"/>
        <v>0</v>
      </c>
      <c r="G905" s="13"/>
      <c r="H905" s="14" t="str">
        <f>HYPERLINK("https://pulti.ua/tv/pult-dlja-thomson-rct-311sc1g")</f>
        <v>https://pulti.ua/tv/pult-dlja-thomson-rct-311sc1g</v>
      </c>
    </row>
    <row r="906" spans="1:8" s="18" customFormat="1" ht="15" customHeight="1">
      <c r="A906" s="39">
        <v>3338</v>
      </c>
      <c r="B906" s="26" t="s">
        <v>842</v>
      </c>
      <c r="C906" s="13" t="s">
        <v>22</v>
      </c>
      <c r="D906" s="14"/>
      <c r="E906" s="9">
        <v>157.5</v>
      </c>
      <c r="F906" s="9">
        <f t="shared" si="30"/>
        <v>0</v>
      </c>
      <c r="G906" s="13"/>
      <c r="H906" s="14" t="str">
        <f>HYPERLINK("https://pulti.ua/tv/pult-dlja-thomson-rs17-11106-015")</f>
        <v>https://pulti.ua/tv/pult-dlja-thomson-rs17-11106-015</v>
      </c>
    </row>
    <row r="907" spans="1:8" s="18" customFormat="1" ht="15" customHeight="1">
      <c r="A907" s="39">
        <v>3056</v>
      </c>
      <c r="B907" s="26" t="s">
        <v>843</v>
      </c>
      <c r="C907" s="13" t="s">
        <v>22</v>
      </c>
      <c r="D907" s="14"/>
      <c r="E907" s="9">
        <v>176.3</v>
      </c>
      <c r="F907" s="9">
        <f t="shared" si="30"/>
        <v>0</v>
      </c>
      <c r="G907" s="13"/>
      <c r="H907" s="14" t="str">
        <f>HYPERLINK("https://pulti.ua/tv/pult-dlja-thomson-t15e01mt")</f>
        <v>https://pulti.ua/tv/pult-dlja-thomson-t15e01mt</v>
      </c>
    </row>
    <row r="908" spans="1:8" s="18" customFormat="1" ht="15" customHeight="1">
      <c r="A908" s="39">
        <v>3081</v>
      </c>
      <c r="B908" s="26" t="s">
        <v>844</v>
      </c>
      <c r="C908" s="13" t="s">
        <v>22</v>
      </c>
      <c r="D908" s="14"/>
      <c r="E908" s="9">
        <v>258.8</v>
      </c>
      <c r="F908" s="9">
        <f t="shared" si="30"/>
        <v>0</v>
      </c>
      <c r="G908" s="13"/>
      <c r="H908" s="14" t="str">
        <f>HYPERLINK("https://pulti.ua/tv/pult-dlja-thomson-t22e31hu")</f>
        <v>https://pulti.ua/tv/pult-dlja-thomson-t22e31hu</v>
      </c>
    </row>
    <row r="909" spans="1:8" s="18" customFormat="1" ht="15" customHeight="1">
      <c r="A909" s="39">
        <v>4338</v>
      </c>
      <c r="B909" s="26" t="s">
        <v>845</v>
      </c>
      <c r="C909" s="13" t="s">
        <v>14</v>
      </c>
      <c r="D909" s="14"/>
      <c r="E909" s="9">
        <v>90</v>
      </c>
      <c r="F909" s="9">
        <f t="shared" si="30"/>
        <v>0</v>
      </c>
      <c r="G909" s="13"/>
      <c r="H909" s="14" t="str">
        <f>HYPERLINK("https://pulti.ua/tv/pult-dlya-toshiba-ct-32f2")</f>
        <v>https://pulti.ua/tv/pult-dlya-toshiba-ct-32f2</v>
      </c>
    </row>
    <row r="910" spans="1:8" s="18" customFormat="1" ht="15" customHeight="1">
      <c r="A910" s="39">
        <v>3032</v>
      </c>
      <c r="B910" s="26" t="s">
        <v>846</v>
      </c>
      <c r="C910" s="13" t="s">
        <v>22</v>
      </c>
      <c r="D910" s="14"/>
      <c r="E910" s="9">
        <v>202.5</v>
      </c>
      <c r="F910" s="9">
        <f t="shared" si="30"/>
        <v>0</v>
      </c>
      <c r="G910" s="13"/>
      <c r="H910" s="14" t="str">
        <f>HYPERLINK("https://pulti.ua/tv/pult-dlja-toshiba-ct-8010")</f>
        <v>https://pulti.ua/tv/pult-dlja-toshiba-ct-8010</v>
      </c>
    </row>
    <row r="911" spans="1:8" s="18" customFormat="1" ht="15" customHeight="1">
      <c r="A911" s="39">
        <v>3581</v>
      </c>
      <c r="B911" s="26" t="s">
        <v>847</v>
      </c>
      <c r="C911" s="13" t="s">
        <v>22</v>
      </c>
      <c r="D911" s="14"/>
      <c r="E911" s="9">
        <v>285</v>
      </c>
      <c r="F911" s="9">
        <f t="shared" si="30"/>
        <v>0</v>
      </c>
      <c r="G911" s="13"/>
      <c r="H911" s="14" t="str">
        <f>HYPERLINK("https://pulti.ua/tv/pult-dlja-toshiba-ct-8022")</f>
        <v>https://pulti.ua/tv/pult-dlja-toshiba-ct-8022</v>
      </c>
    </row>
    <row r="912" spans="1:8" s="18" customFormat="1" ht="15" customHeight="1">
      <c r="A912" s="39">
        <v>3033</v>
      </c>
      <c r="B912" s="26" t="s">
        <v>848</v>
      </c>
      <c r="C912" s="13" t="s">
        <v>22</v>
      </c>
      <c r="D912" s="14"/>
      <c r="E912" s="9">
        <v>307.5</v>
      </c>
      <c r="F912" s="9">
        <f t="shared" si="30"/>
        <v>0</v>
      </c>
      <c r="G912" s="13"/>
      <c r="H912" s="14" t="str">
        <f>HYPERLINK("https://pulti.ua/tv/pult-dlja-toshiba-ct-8023")</f>
        <v>https://pulti.ua/tv/pult-dlja-toshiba-ct-8023</v>
      </c>
    </row>
    <row r="913" spans="1:8" s="18" customFormat="1" ht="15" customHeight="1">
      <c r="A913" s="39">
        <v>2074</v>
      </c>
      <c r="B913" s="26" t="s">
        <v>849</v>
      </c>
      <c r="C913" s="13" t="s">
        <v>22</v>
      </c>
      <c r="D913" s="14"/>
      <c r="E913" s="9">
        <v>45</v>
      </c>
      <c r="F913" s="9">
        <f t="shared" si="30"/>
        <v>0</v>
      </c>
      <c r="G913" s="13"/>
      <c r="H913" s="14" t="str">
        <f>HYPERLINK("https://pulti.ua/tv/pult-dlja-toshiba-ct-893")</f>
        <v>https://pulti.ua/tv/pult-dlja-toshiba-ct-893</v>
      </c>
    </row>
    <row r="914" spans="1:8" s="18" customFormat="1" ht="15" customHeight="1">
      <c r="A914" s="11">
        <v>2103</v>
      </c>
      <c r="B914" s="12" t="s">
        <v>850</v>
      </c>
      <c r="C914" s="13" t="s">
        <v>11</v>
      </c>
      <c r="D914" s="14"/>
      <c r="E914" s="9">
        <v>48.4</v>
      </c>
      <c r="F914" s="9">
        <f t="shared" si="30"/>
        <v>0</v>
      </c>
      <c r="G914" s="13"/>
      <c r="H914" s="14" t="str">
        <f>HYPERLINK("https://pulti.ua/tv/pult-dlja-toshiba-ct-90119")</f>
        <v>https://pulti.ua/tv/pult-dlja-toshiba-ct-90119</v>
      </c>
    </row>
    <row r="915" spans="1:8" s="18" customFormat="1" ht="15" customHeight="1">
      <c r="A915" s="39">
        <v>1362</v>
      </c>
      <c r="B915" s="26" t="s">
        <v>851</v>
      </c>
      <c r="C915" s="13" t="s">
        <v>11</v>
      </c>
      <c r="D915" s="14"/>
      <c r="E915" s="9">
        <v>50.6</v>
      </c>
      <c r="F915" s="9">
        <f t="shared" si="30"/>
        <v>0</v>
      </c>
      <c r="G915" s="13"/>
      <c r="H915" s="14" t="str">
        <f>HYPERLINK("https://pulti.ua/tv/pult-dlja-toshiba-ct-90119-ic")</f>
        <v>https://pulti.ua/tv/pult-dlja-toshiba-ct-90119-ic</v>
      </c>
    </row>
    <row r="916" spans="1:8" s="18" customFormat="1" ht="15" customHeight="1">
      <c r="A916" s="39">
        <v>2107</v>
      </c>
      <c r="B916" s="26" t="s">
        <v>852</v>
      </c>
      <c r="C916" s="13" t="s">
        <v>22</v>
      </c>
      <c r="D916" s="14"/>
      <c r="E916" s="9">
        <v>142.5</v>
      </c>
      <c r="F916" s="9">
        <f t="shared" si="30"/>
        <v>0</v>
      </c>
      <c r="G916" s="13"/>
      <c r="H916" s="14" t="str">
        <f>HYPERLINK("https://pulti.ua/tv/pult-dlja-toshiba--ct-90198")</f>
        <v>https://pulti.ua/tv/pult-dlja-toshiba--ct-90198</v>
      </c>
    </row>
    <row r="917" spans="1:8" s="18" customFormat="1" ht="15" customHeight="1">
      <c r="A917" s="11">
        <v>2109</v>
      </c>
      <c r="B917" s="12" t="s">
        <v>853</v>
      </c>
      <c r="C917" s="13" t="s">
        <v>11</v>
      </c>
      <c r="D917" s="14"/>
      <c r="E917" s="9">
        <v>50.6</v>
      </c>
      <c r="F917" s="9">
        <f t="shared" si="30"/>
        <v>0</v>
      </c>
      <c r="G917" s="13"/>
      <c r="H917" s="14" t="str">
        <f>HYPERLINK("https://pulti.ua/tv/pult-dlja-toshiba--ct-90229")</f>
        <v>https://pulti.ua/tv/pult-dlja-toshiba--ct-90229</v>
      </c>
    </row>
    <row r="918" spans="1:8" s="18" customFormat="1" ht="15" customHeight="1">
      <c r="A918" s="39">
        <v>3261</v>
      </c>
      <c r="B918" s="26" t="s">
        <v>854</v>
      </c>
      <c r="C918" s="13" t="s">
        <v>11</v>
      </c>
      <c r="D918" s="14"/>
      <c r="E918" s="9">
        <v>56.3</v>
      </c>
      <c r="F918" s="9">
        <f t="shared" si="30"/>
        <v>0</v>
      </c>
      <c r="G918" s="13"/>
      <c r="H918" s="14" t="str">
        <f>HYPERLINK("https://pulti.ua/tv/pult-dlja-toshiba--ct-90229-ic")</f>
        <v>https://pulti.ua/tv/pult-dlja-toshiba--ct-90229-ic</v>
      </c>
    </row>
    <row r="919" spans="1:8" s="18" customFormat="1" ht="15" customHeight="1">
      <c r="A919" s="11">
        <v>2110</v>
      </c>
      <c r="B919" s="12" t="s">
        <v>855</v>
      </c>
      <c r="C919" s="13" t="s">
        <v>11</v>
      </c>
      <c r="D919" s="14"/>
      <c r="E919" s="9">
        <v>63.8</v>
      </c>
      <c r="F919" s="9">
        <f t="shared" si="30"/>
        <v>0</v>
      </c>
      <c r="G919" s="13"/>
      <c r="H919" s="14" t="str">
        <f>HYPERLINK("https://pulti.ua/tv/pult-dlja-toshiba--ct-90253")</f>
        <v>https://pulti.ua/tv/pult-dlja-toshiba--ct-90253</v>
      </c>
    </row>
    <row r="920" spans="1:8" s="18" customFormat="1" ht="15" customHeight="1">
      <c r="A920" s="39">
        <v>3125</v>
      </c>
      <c r="B920" s="26" t="s">
        <v>856</v>
      </c>
      <c r="C920" s="13" t="s">
        <v>22</v>
      </c>
      <c r="D920" s="14"/>
      <c r="E920" s="9">
        <v>90</v>
      </c>
      <c r="F920" s="9">
        <f t="shared" si="30"/>
        <v>0</v>
      </c>
      <c r="G920" s="13"/>
      <c r="H920" s="14" t="str">
        <f>HYPERLINK("https://pulti.ua/tv/pult-dlja-toshiba-ct-90298-ic")</f>
        <v>https://pulti.ua/tv/pult-dlja-toshiba-ct-90298-ic</v>
      </c>
    </row>
    <row r="921" spans="1:8" s="18" customFormat="1" ht="15" customHeight="1">
      <c r="A921" s="39">
        <v>2112</v>
      </c>
      <c r="B921" s="26" t="s">
        <v>857</v>
      </c>
      <c r="C921" s="13" t="s">
        <v>22</v>
      </c>
      <c r="D921" s="14"/>
      <c r="E921" s="9">
        <v>71.3</v>
      </c>
      <c r="F921" s="9">
        <f t="shared" si="30"/>
        <v>0</v>
      </c>
      <c r="G921" s="13"/>
      <c r="H921" s="14" t="str">
        <f>HYPERLINK("https://pulti.ua/tv/pult-dlja-toshiba-ct-90326")</f>
        <v>https://pulti.ua/tv/pult-dlja-toshiba-ct-90326</v>
      </c>
    </row>
    <row r="922" spans="1:8" s="18" customFormat="1" ht="15" customHeight="1">
      <c r="A922" s="39">
        <v>3913</v>
      </c>
      <c r="B922" s="26" t="s">
        <v>858</v>
      </c>
      <c r="C922" s="13" t="s">
        <v>14</v>
      </c>
      <c r="D922" s="14"/>
      <c r="E922" s="9">
        <v>71.3</v>
      </c>
      <c r="F922" s="9">
        <f t="shared" si="30"/>
        <v>0</v>
      </c>
      <c r="G922" s="13"/>
      <c r="H922" s="14" t="str">
        <f>HYPERLINK("https://pulti.ua/tv/pult-dlja-toshiba-ct-90336")</f>
        <v>https://pulti.ua/tv/pult-dlja-toshiba-ct-90336</v>
      </c>
    </row>
    <row r="923" spans="1:8" s="18" customFormat="1" ht="15" customHeight="1">
      <c r="A923" s="39">
        <v>3171</v>
      </c>
      <c r="B923" s="26" t="s">
        <v>859</v>
      </c>
      <c r="C923" s="13" t="s">
        <v>14</v>
      </c>
      <c r="D923" s="14"/>
      <c r="E923" s="9">
        <v>108.8</v>
      </c>
      <c r="F923" s="9">
        <f t="shared" si="30"/>
        <v>0</v>
      </c>
      <c r="G923" s="13"/>
      <c r="H923" s="14" t="str">
        <f>HYPERLINK("https://pulti.ua/tv/pult-dlja-toshiba-ct-90345")</f>
        <v>https://pulti.ua/tv/pult-dlja-toshiba-ct-90345</v>
      </c>
    </row>
    <row r="924" spans="1:8" s="18" customFormat="1" ht="15" customHeight="1">
      <c r="A924" s="39">
        <v>3172</v>
      </c>
      <c r="B924" s="26" t="s">
        <v>860</v>
      </c>
      <c r="C924" s="13" t="s">
        <v>14</v>
      </c>
      <c r="D924" s="14"/>
      <c r="E924" s="9">
        <v>108.8</v>
      </c>
      <c r="F924" s="9">
        <f t="shared" si="30"/>
        <v>0</v>
      </c>
      <c r="G924" s="13"/>
      <c r="H924" s="14" t="str">
        <f>HYPERLINK("https://pulti.ua/tv/pult-dlja-toshiba-ct-90356-regza")</f>
        <v>https://pulti.ua/tv/pult-dlja-toshiba-ct-90356-regza</v>
      </c>
    </row>
    <row r="925" spans="1:8" s="18" customFormat="1" ht="15" customHeight="1">
      <c r="A925" s="39">
        <v>1903</v>
      </c>
      <c r="B925" s="26" t="s">
        <v>861</v>
      </c>
      <c r="C925" s="13" t="s">
        <v>14</v>
      </c>
      <c r="D925" s="14"/>
      <c r="E925" s="9">
        <v>60</v>
      </c>
      <c r="F925" s="9">
        <f t="shared" si="30"/>
        <v>0</v>
      </c>
      <c r="G925" s="13"/>
      <c r="H925" s="14" t="str">
        <f>HYPERLINK("https://pulti.ua/tv/pult-dlya-toshiba-ct-90384")</f>
        <v>https://pulti.ua/tv/pult-dlya-toshiba-ct-90384</v>
      </c>
    </row>
    <row r="926" spans="1:8" s="18" customFormat="1" ht="15" customHeight="1">
      <c r="A926" s="39">
        <v>1768</v>
      </c>
      <c r="B926" s="26" t="s">
        <v>862</v>
      </c>
      <c r="C926" s="13" t="s">
        <v>14</v>
      </c>
      <c r="D926" s="14"/>
      <c r="E926" s="9">
        <v>71.3</v>
      </c>
      <c r="F926" s="9">
        <f t="shared" si="30"/>
        <v>0</v>
      </c>
      <c r="G926" s="13"/>
      <c r="H926" s="14" t="str">
        <f>HYPERLINK("https://pulti.ua/tv/pult-dlya-toshiba-ct-90386")</f>
        <v>https://pulti.ua/tv/pult-dlya-toshiba-ct-90386</v>
      </c>
    </row>
    <row r="927" spans="1:8" s="18" customFormat="1" ht="15" customHeight="1">
      <c r="A927" s="11">
        <v>2075</v>
      </c>
      <c r="B927" s="12" t="s">
        <v>863</v>
      </c>
      <c r="C927" s="13" t="s">
        <v>11</v>
      </c>
      <c r="D927" s="14"/>
      <c r="E927" s="9">
        <v>26.3</v>
      </c>
      <c r="F927" s="9">
        <f t="shared" si="30"/>
        <v>0</v>
      </c>
      <c r="G927" s="13"/>
      <c r="H927" s="14" t="str">
        <f>HYPERLINK("https://pulti.ua/tv/pult-dlja-toshiba-ct-9199")</f>
        <v>https://pulti.ua/tv/pult-dlja-toshiba-ct-9199</v>
      </c>
    </row>
    <row r="928" spans="1:8" s="18" customFormat="1" ht="15" customHeight="1">
      <c r="A928" s="11">
        <v>2079</v>
      </c>
      <c r="B928" s="12" t="s">
        <v>864</v>
      </c>
      <c r="C928" s="13" t="s">
        <v>11</v>
      </c>
      <c r="D928" s="14"/>
      <c r="E928" s="9">
        <v>56.3</v>
      </c>
      <c r="F928" s="9">
        <f t="shared" si="30"/>
        <v>0</v>
      </c>
      <c r="G928" s="13"/>
      <c r="H928" s="14" t="str">
        <f>HYPERLINK("https://pulti.ua/tv/pult-dlja-toshiba-ct-9430")</f>
        <v>https://pulti.ua/tv/pult-dlja-toshiba-ct-9430</v>
      </c>
    </row>
    <row r="929" spans="1:8" s="18" customFormat="1" ht="15" customHeight="1">
      <c r="A929" s="11">
        <v>2084</v>
      </c>
      <c r="B929" s="12" t="s">
        <v>865</v>
      </c>
      <c r="C929" s="13" t="s">
        <v>11</v>
      </c>
      <c r="D929" s="14"/>
      <c r="E929" s="9">
        <v>60</v>
      </c>
      <c r="F929" s="9">
        <f t="shared" si="30"/>
        <v>0</v>
      </c>
      <c r="G929" s="13"/>
      <c r="H929" s="14" t="str">
        <f>HYPERLINK("https://pulti.ua/tv/pult-dlja-toshiba-ct-9684")</f>
        <v>https://pulti.ua/tv/pult-dlja-toshiba-ct-9684</v>
      </c>
    </row>
    <row r="930" spans="1:8" s="18" customFormat="1" ht="15" customHeight="1">
      <c r="A930" s="11">
        <v>2086</v>
      </c>
      <c r="B930" s="12" t="s">
        <v>866</v>
      </c>
      <c r="C930" s="13" t="s">
        <v>11</v>
      </c>
      <c r="D930" s="14"/>
      <c r="E930" s="9">
        <v>135</v>
      </c>
      <c r="F930" s="9">
        <f t="shared" si="30"/>
        <v>0</v>
      </c>
      <c r="G930" s="13"/>
      <c r="H930" s="14" t="str">
        <f>HYPERLINK("https://pulti.ua/tv/pult-dlja-toshiba-ct-9731")</f>
        <v>https://pulti.ua/tv/pult-dlja-toshiba-ct-9731</v>
      </c>
    </row>
    <row r="931" spans="1:8" s="18" customFormat="1" ht="15" customHeight="1">
      <c r="A931" s="11">
        <v>2088</v>
      </c>
      <c r="B931" s="12" t="s">
        <v>867</v>
      </c>
      <c r="C931" s="13" t="s">
        <v>11</v>
      </c>
      <c r="D931" s="14"/>
      <c r="E931" s="9">
        <v>48.8</v>
      </c>
      <c r="F931" s="9">
        <f t="shared" si="30"/>
        <v>0</v>
      </c>
      <c r="G931" s="13"/>
      <c r="H931" s="14" t="str">
        <f>HYPERLINK("https://pulti.ua/tv/pult-dlja-toshiba-ct-9782")</f>
        <v>https://pulti.ua/tv/pult-dlja-toshiba-ct-9782</v>
      </c>
    </row>
    <row r="932" spans="1:8" s="18" customFormat="1" ht="15" customHeight="1">
      <c r="A932" s="39">
        <v>1353</v>
      </c>
      <c r="B932" s="26" t="s">
        <v>868</v>
      </c>
      <c r="C932" s="13" t="s">
        <v>11</v>
      </c>
      <c r="D932" s="14"/>
      <c r="E932" s="9">
        <v>60</v>
      </c>
      <c r="F932" s="9">
        <f t="shared" si="30"/>
        <v>0</v>
      </c>
      <c r="G932" s="13"/>
      <c r="H932" s="14" t="str">
        <f>HYPERLINK("https://pulti.ua/tv/pult-dlja-toshiba-ct-9782-ic")</f>
        <v>https://pulti.ua/tv/pult-dlja-toshiba-ct-9782-ic</v>
      </c>
    </row>
    <row r="933" spans="1:8" s="18" customFormat="1" ht="15" customHeight="1">
      <c r="A933" s="11">
        <v>2090</v>
      </c>
      <c r="B933" s="12" t="s">
        <v>869</v>
      </c>
      <c r="C933" s="13" t="s">
        <v>11</v>
      </c>
      <c r="D933" s="14"/>
      <c r="E933" s="9">
        <v>82.5</v>
      </c>
      <c r="F933" s="9">
        <f t="shared" si="30"/>
        <v>0</v>
      </c>
      <c r="G933" s="13"/>
      <c r="H933" s="14" t="str">
        <f>HYPERLINK("https://pulti.ua/tv/pult-dlja-toshiba-ct-9818")</f>
        <v>https://pulti.ua/tv/pult-dlja-toshiba-ct-9818</v>
      </c>
    </row>
    <row r="934" spans="1:8" s="18" customFormat="1" ht="15" customHeight="1">
      <c r="A934" s="11">
        <v>2092</v>
      </c>
      <c r="B934" s="12" t="s">
        <v>870</v>
      </c>
      <c r="C934" s="13" t="s">
        <v>11</v>
      </c>
      <c r="D934" s="14"/>
      <c r="E934" s="9">
        <v>52.5</v>
      </c>
      <c r="F934" s="9">
        <f t="shared" si="30"/>
        <v>0</v>
      </c>
      <c r="G934" s="13"/>
      <c r="H934" s="14" t="str">
        <f>HYPERLINK("https://pulti.ua/tv/pult-dlja-toshiba-ct-9851")</f>
        <v>https://pulti.ua/tv/pult-dlja-toshiba-ct-9851</v>
      </c>
    </row>
    <row r="935" spans="1:8" s="18" customFormat="1" ht="15" customHeight="1">
      <c r="A935" s="11">
        <v>2093</v>
      </c>
      <c r="B935" s="12" t="s">
        <v>871</v>
      </c>
      <c r="C935" s="13" t="s">
        <v>11</v>
      </c>
      <c r="D935" s="14"/>
      <c r="E935" s="9">
        <v>71.3</v>
      </c>
      <c r="F935" s="9">
        <f t="shared" si="30"/>
        <v>0</v>
      </c>
      <c r="G935" s="13"/>
      <c r="H935" s="14" t="str">
        <f>HYPERLINK("https://pulti.ua/tv/pult-dlja-toshiba-ct-9856")</f>
        <v>https://pulti.ua/tv/pult-dlja-toshiba-ct-9856</v>
      </c>
    </row>
    <row r="936" spans="1:8" s="18" customFormat="1" ht="15" customHeight="1">
      <c r="A936" s="11">
        <v>2094</v>
      </c>
      <c r="B936" s="12" t="s">
        <v>872</v>
      </c>
      <c r="C936" s="13" t="s">
        <v>11</v>
      </c>
      <c r="D936" s="14"/>
      <c r="E936" s="9">
        <v>56.3</v>
      </c>
      <c r="F936" s="9">
        <f t="shared" si="30"/>
        <v>0</v>
      </c>
      <c r="G936" s="13"/>
      <c r="H936" s="14" t="str">
        <f>HYPERLINK("https://pulti.ua/tv/pult-dlja-toshiba-ct-9858")</f>
        <v>https://pulti.ua/tv/pult-dlja-toshiba-ct-9858</v>
      </c>
    </row>
    <row r="937" spans="1:8" s="18" customFormat="1" ht="15" customHeight="1">
      <c r="A937" s="11">
        <v>2098</v>
      </c>
      <c r="B937" s="12" t="s">
        <v>873</v>
      </c>
      <c r="C937" s="13" t="s">
        <v>11</v>
      </c>
      <c r="D937" s="14"/>
      <c r="E937" s="9">
        <v>56.3</v>
      </c>
      <c r="F937" s="9">
        <f t="shared" si="30"/>
        <v>0</v>
      </c>
      <c r="G937" s="13"/>
      <c r="H937" s="14" t="str">
        <f>HYPERLINK("https://pulti.ua/tv/pult-dlja-toshiba-ct-9881")</f>
        <v>https://pulti.ua/tv/pult-dlja-toshiba-ct-9881</v>
      </c>
    </row>
    <row r="938" spans="1:8" s="18" customFormat="1" ht="15" customHeight="1">
      <c r="A938" s="39">
        <v>1360</v>
      </c>
      <c r="B938" s="26" t="s">
        <v>874</v>
      </c>
      <c r="C938" s="13" t="s">
        <v>11</v>
      </c>
      <c r="D938" s="14"/>
      <c r="E938" s="9">
        <v>56.3</v>
      </c>
      <c r="F938" s="9">
        <f t="shared" si="30"/>
        <v>0</v>
      </c>
      <c r="G938" s="13"/>
      <c r="H938" s="14" t="str">
        <f>HYPERLINK("https://pulti.ua/tv/pult-dlja-toshiba-ct-9922-ic")</f>
        <v>https://pulti.ua/tv/pult-dlja-toshiba-ct-9922-ic</v>
      </c>
    </row>
    <row r="939" spans="1:8" s="18" customFormat="1" ht="15" customHeight="1">
      <c r="A939" s="11">
        <v>2102</v>
      </c>
      <c r="B939" s="12" t="s">
        <v>875</v>
      </c>
      <c r="C939" s="13" t="s">
        <v>11</v>
      </c>
      <c r="D939" s="14"/>
      <c r="E939" s="9">
        <v>28.1</v>
      </c>
      <c r="F939" s="9">
        <f t="shared" si="30"/>
        <v>0</v>
      </c>
      <c r="G939" s="13"/>
      <c r="H939" s="14" t="str">
        <f>HYPERLINK("https://pulti.ua/tv/pult-dlja-toshiba-ct-9992")</f>
        <v>https://pulti.ua/tv/pult-dlja-toshiba-ct-9992</v>
      </c>
    </row>
    <row r="940" spans="1:8" s="18" customFormat="1" ht="15" customHeight="1">
      <c r="A940" s="39">
        <v>3136</v>
      </c>
      <c r="B940" s="26" t="s">
        <v>876</v>
      </c>
      <c r="C940" s="13" t="s">
        <v>431</v>
      </c>
      <c r="D940" s="14"/>
      <c r="E940" s="9">
        <v>363.8</v>
      </c>
      <c r="F940" s="9">
        <f t="shared" si="30"/>
        <v>0</v>
      </c>
      <c r="G940" s="13"/>
      <c r="H940" s="14" t="str">
        <f>HYPERLINK("https://pulti.ua/tv/pult-dlja-toshiba-wc-g1r")</f>
        <v>https://pulti.ua/tv/pult-dlja-toshiba-wc-g1r</v>
      </c>
    </row>
    <row r="941" spans="1:8" s="18" customFormat="1" ht="15" customHeight="1">
      <c r="A941" s="11">
        <v>2815</v>
      </c>
      <c r="B941" s="12" t="s">
        <v>877</v>
      </c>
      <c r="C941" s="13" t="s">
        <v>11</v>
      </c>
      <c r="D941" s="14"/>
      <c r="E941" s="9">
        <v>67.5</v>
      </c>
      <c r="F941" s="9">
        <f t="shared" si="30"/>
        <v>0</v>
      </c>
      <c r="G941" s="13"/>
      <c r="H941" s="14" t="str">
        <f>HYPERLINK("https://pulti.ua/tv/pult-dlja-vidimax-rc-3004")</f>
        <v>https://pulti.ua/tv/pult-dlja-vidimax-rc-3004</v>
      </c>
    </row>
    <row r="942" spans="1:8" s="18" customFormat="1" ht="15" customHeight="1">
      <c r="A942" s="39">
        <v>3334</v>
      </c>
      <c r="B942" s="26" t="s">
        <v>878</v>
      </c>
      <c r="C942" s="13" t="s">
        <v>11</v>
      </c>
      <c r="D942" s="14"/>
      <c r="E942" s="9">
        <v>195</v>
      </c>
      <c r="F942" s="9">
        <f t="shared" si="30"/>
        <v>0</v>
      </c>
      <c r="G942" s="13"/>
      <c r="H942" s="14" t="str">
        <f>HYPERLINK("https://pulti.ua/tv/pult-dlja-vidimax-rc903a")</f>
        <v>https://pulti.ua/tv/pult-dlja-vidimax-rc903a</v>
      </c>
    </row>
    <row r="943" spans="1:8" s="18" customFormat="1" ht="15" customHeight="1">
      <c r="A943" s="39">
        <v>3433</v>
      </c>
      <c r="B943" s="26" t="s">
        <v>879</v>
      </c>
      <c r="C943" s="13" t="s">
        <v>11</v>
      </c>
      <c r="D943" s="14"/>
      <c r="E943" s="9">
        <v>63.8</v>
      </c>
      <c r="F943" s="9">
        <f t="shared" si="30"/>
        <v>0</v>
      </c>
      <c r="G943" s="13"/>
      <c r="H943" s="14" t="str">
        <f>HYPERLINK("https://pulti.ua/tv/pult-dlja-west-gk21a1-c12-ic")</f>
        <v>https://pulti.ua/tv/pult-dlja-west-gk21a1-c12-ic</v>
      </c>
    </row>
    <row r="944" spans="1:8" s="18" customFormat="1" ht="15" customHeight="1">
      <c r="A944" s="11">
        <v>2805</v>
      </c>
      <c r="B944" s="12" t="s">
        <v>880</v>
      </c>
      <c r="C944" s="13" t="s">
        <v>22</v>
      </c>
      <c r="D944" s="14"/>
      <c r="E944" s="9">
        <v>97.5</v>
      </c>
      <c r="F944" s="9">
        <f t="shared" si="30"/>
        <v>0</v>
      </c>
      <c r="G944" s="13"/>
      <c r="H944" s="14" t="str">
        <f>HYPERLINK("https://pulti.ua/tv/pult-dlja-west-en-21624c")</f>
        <v>https://pulti.ua/tv/pult-dlja-west-en-21624c</v>
      </c>
    </row>
    <row r="945" spans="1:8" s="18" customFormat="1" ht="15" customHeight="1">
      <c r="A945" s="11">
        <v>2806</v>
      </c>
      <c r="B945" s="12" t="s">
        <v>881</v>
      </c>
      <c r="C945" s="13" t="s">
        <v>11</v>
      </c>
      <c r="D945" s="14"/>
      <c r="E945" s="9">
        <v>58.1</v>
      </c>
      <c r="F945" s="9">
        <f t="shared" si="30"/>
        <v>0</v>
      </c>
      <c r="G945" s="13"/>
      <c r="H945" s="14" t="str">
        <f>HYPERLINK("https://pulti.ua/tv/pult-dlja-west-gk21a1-c12")</f>
        <v>https://pulti.ua/tv/pult-dlja-west-gk21a1-c12</v>
      </c>
    </row>
    <row r="946" spans="1:8" s="18" customFormat="1" ht="15" customHeight="1">
      <c r="A946" s="11">
        <v>2807</v>
      </c>
      <c r="B946" s="12" t="s">
        <v>882</v>
      </c>
      <c r="C946" s="13" t="s">
        <v>11</v>
      </c>
      <c r="D946" s="14"/>
      <c r="E946" s="9">
        <v>71.3</v>
      </c>
      <c r="F946" s="9">
        <f t="shared" si="30"/>
        <v>0</v>
      </c>
      <c r="G946" s="13"/>
      <c r="H946" s="14" t="str">
        <f>HYPERLINK("https://pulti.ua/tv/pult-dlja-west-k10n-c12")</f>
        <v>https://pulti.ua/tv/pult-dlja-west-k10n-c12</v>
      </c>
    </row>
    <row r="947" spans="1:8" s="18" customFormat="1" ht="15" customHeight="1">
      <c r="A947" s="11">
        <v>2809</v>
      </c>
      <c r="B947" s="12" t="s">
        <v>883</v>
      </c>
      <c r="C947" s="13" t="s">
        <v>11</v>
      </c>
      <c r="D947" s="14"/>
      <c r="E947" s="9">
        <v>45</v>
      </c>
      <c r="F947" s="9">
        <f t="shared" si="30"/>
        <v>0</v>
      </c>
      <c r="G947" s="13"/>
      <c r="H947" s="14" t="str">
        <f>HYPERLINK("https://pulti.ua/tv/pult-dlja-west-k18f-c16")</f>
        <v>https://pulti.ua/tv/pult-dlja-west-k18f-c16</v>
      </c>
    </row>
    <row r="948" spans="1:8" s="18" customFormat="1" ht="15" customHeight="1">
      <c r="A948" s="39">
        <v>3434</v>
      </c>
      <c r="B948" s="26" t="s">
        <v>884</v>
      </c>
      <c r="C948" s="13" t="s">
        <v>11</v>
      </c>
      <c r="D948" s="14"/>
      <c r="E948" s="9">
        <v>50.6</v>
      </c>
      <c r="F948" s="9">
        <f t="shared" si="30"/>
        <v>0</v>
      </c>
      <c r="G948" s="13"/>
      <c r="H948" s="14" t="str">
        <f>HYPERLINK("https://pulti.ua/tv/pult-dlja-west-k18f-c16-ic")</f>
        <v>https://pulti.ua/tv/pult-dlja-west-k18f-c16-ic</v>
      </c>
    </row>
    <row r="949" spans="1:8" s="18" customFormat="1" ht="15" customHeight="1">
      <c r="A949" s="39">
        <v>2810</v>
      </c>
      <c r="B949" s="26" t="s">
        <v>885</v>
      </c>
      <c r="C949" s="13" t="s">
        <v>11</v>
      </c>
      <c r="D949" s="14"/>
      <c r="E949" s="9">
        <v>71.3</v>
      </c>
      <c r="F949" s="9">
        <f t="shared" si="30"/>
        <v>0</v>
      </c>
      <c r="G949" s="13"/>
      <c r="H949" s="14" t="str">
        <f>HYPERLINK("https://pulti.ua/tv/pult-dlja-west-tu2145-ic")</f>
        <v>https://pulti.ua/tv/pult-dlja-west-tu2145-ic</v>
      </c>
    </row>
    <row r="950" spans="1:8" s="18" customFormat="1" ht="15" customHeight="1">
      <c r="A950" s="11">
        <v>4506</v>
      </c>
      <c r="B950" s="12" t="s">
        <v>886</v>
      </c>
      <c r="C950" s="13" t="s">
        <v>14</v>
      </c>
      <c r="D950" s="14"/>
      <c r="E950" s="9">
        <v>90</v>
      </c>
      <c r="F950" s="9">
        <f t="shared" si="30"/>
        <v>0</v>
      </c>
      <c r="G950" s="13"/>
      <c r="H950" s="14" t="str">
        <f>HYPERLINK("https://pulti.ua/tv/pult-dlya-xiaomi-mi-tv")</f>
        <v>https://pulti.ua/tv/pult-dlya-xiaomi-mi-tv</v>
      </c>
    </row>
    <row r="951" spans="1:8" s="18" customFormat="1" ht="15" customHeight="1">
      <c r="A951" s="11">
        <v>4617</v>
      </c>
      <c r="B951" s="12" t="s">
        <v>1388</v>
      </c>
      <c r="C951" s="13" t="s">
        <v>14</v>
      </c>
      <c r="D951" s="14"/>
      <c r="E951" s="9">
        <v>585</v>
      </c>
      <c r="F951" s="9">
        <f t="shared" si="30"/>
        <v>0</v>
      </c>
      <c r="G951" s="13"/>
      <c r="H951" s="14" t="str">
        <f>HYPERLINK("https://pulti.ua/tv/pult-dlya-xiaomi-xmrm-010-bluetooth")</f>
        <v>https://pulti.ua/tv/pult-dlya-xiaomi-xmrm-010-bluetooth</v>
      </c>
    </row>
    <row r="952" spans="1:8" s="18" customFormat="1" ht="15" customHeight="1">
      <c r="A952" s="39">
        <v>4339</v>
      </c>
      <c r="B952" s="26" t="s">
        <v>1389</v>
      </c>
      <c r="C952" s="13" t="s">
        <v>14</v>
      </c>
      <c r="D952" s="14"/>
      <c r="E952" s="9">
        <v>105</v>
      </c>
      <c r="F952" s="9">
        <f t="shared" si="30"/>
        <v>0</v>
      </c>
      <c r="G952" s="13"/>
      <c r="H952" s="14" t="str">
        <f>HYPERLINK("https://pulti.ua/tv/pult-dlya-vityaz-24l301c28")</f>
        <v>https://pulti.ua/tv/pult-dlya-vityaz-24l301c28</v>
      </c>
    </row>
    <row r="953" spans="1:8" s="18" customFormat="1" ht="15" customHeight="1">
      <c r="A953" s="11">
        <v>2609</v>
      </c>
      <c r="B953" s="12" t="s">
        <v>887</v>
      </c>
      <c r="C953" s="13" t="s">
        <v>11</v>
      </c>
      <c r="D953" s="14"/>
      <c r="E953" s="9">
        <v>56.3</v>
      </c>
      <c r="F953" s="9">
        <f t="shared" si="30"/>
        <v>0</v>
      </c>
      <c r="G953" s="13"/>
      <c r="H953" s="14" t="str">
        <f>HYPERLINK("https://pulti.ua/tv/pult-dlja-vityas-vitjaz-rc-5")</f>
        <v>https://pulti.ua/tv/pult-dlja-vityas-vitjaz-rc-5</v>
      </c>
    </row>
    <row r="954" spans="1:8" s="18" customFormat="1" ht="15" customHeight="1">
      <c r="A954" s="11">
        <v>2612</v>
      </c>
      <c r="B954" s="12" t="s">
        <v>888</v>
      </c>
      <c r="C954" s="13" t="s">
        <v>11</v>
      </c>
      <c r="D954" s="14"/>
      <c r="E954" s="9">
        <v>67.5</v>
      </c>
      <c r="F954" s="9">
        <f t="shared" si="30"/>
        <v>0</v>
      </c>
      <c r="G954" s="13"/>
      <c r="H954" s="14" t="str">
        <f>HYPERLINK("https://pulti.ua/tv/pult-dlja-vityas-vitjaz-rc-6-1-pdu-10")</f>
        <v>https://pulti.ua/tv/pult-dlja-vityas-vitjaz-rc-6-1-pdu-10</v>
      </c>
    </row>
    <row r="955" spans="1:8" s="18" customFormat="1" ht="15" customHeight="1">
      <c r="A955" s="39">
        <v>3644</v>
      </c>
      <c r="B955" s="26" t="s">
        <v>889</v>
      </c>
      <c r="C955" s="13" t="s">
        <v>11</v>
      </c>
      <c r="D955" s="14"/>
      <c r="E955" s="9">
        <v>165</v>
      </c>
      <c r="F955" s="9">
        <f t="shared" si="30"/>
        <v>0</v>
      </c>
      <c r="G955" s="13"/>
      <c r="H955" s="14" t="str">
        <f>HYPERLINK("https://pulti.ua/tv/pult-dlja-horizont-468373528")</f>
        <v>https://pulti.ua/tv/pult-dlja-horizont-468373528</v>
      </c>
    </row>
    <row r="956" spans="1:8" s="18" customFormat="1" ht="15" customHeight="1">
      <c r="A956" s="39">
        <v>3454</v>
      </c>
      <c r="B956" s="26" t="s">
        <v>890</v>
      </c>
      <c r="C956" s="13" t="s">
        <v>11</v>
      </c>
      <c r="D956" s="14"/>
      <c r="E956" s="9">
        <v>120</v>
      </c>
      <c r="F956" s="9">
        <f t="shared" si="30"/>
        <v>0</v>
      </c>
      <c r="G956" s="13"/>
      <c r="H956" s="14" t="str">
        <f>HYPERLINK("https://pulti.ua/tv/pult-dlja-horizont-gorizont-a39")</f>
        <v>https://pulti.ua/tv/pult-dlja-horizont-gorizont-a39</v>
      </c>
    </row>
    <row r="957" spans="1:8" s="18" customFormat="1" ht="15" customHeight="1">
      <c r="A957" s="11">
        <v>2596</v>
      </c>
      <c r="B957" s="12" t="s">
        <v>891</v>
      </c>
      <c r="C957" s="13" t="s">
        <v>11</v>
      </c>
      <c r="D957" s="14"/>
      <c r="E957" s="9">
        <v>45</v>
      </c>
      <c r="F957" s="9">
        <f t="shared" si="30"/>
        <v>0</v>
      </c>
      <c r="G957" s="13"/>
      <c r="H957" s="14" t="str">
        <f>HYPERLINK("https://pulti.ua/tv/pult-dlja-bp-6")</f>
        <v>https://pulti.ua/tv/pult-dlja-bp-6</v>
      </c>
    </row>
    <row r="958" spans="1:8" s="18" customFormat="1" ht="15" customHeight="1">
      <c r="A958" s="39">
        <v>2622</v>
      </c>
      <c r="B958" s="26" t="s">
        <v>892</v>
      </c>
      <c r="C958" s="13" t="s">
        <v>11</v>
      </c>
      <c r="D958" s="14"/>
      <c r="E958" s="9">
        <v>58.1</v>
      </c>
      <c r="F958" s="9">
        <f t="shared" si="30"/>
        <v>0</v>
      </c>
      <c r="G958" s="13"/>
      <c r="H958" s="14" t="str">
        <f>HYPERLINK("https://pulti.ua/tv/pult-dlja-bp-6-ic")</f>
        <v>https://pulti.ua/tv/pult-dlja-bp-6-ic</v>
      </c>
    </row>
    <row r="959" spans="1:8" s="18" customFormat="1" ht="15" customHeight="1">
      <c r="A959" s="39">
        <v>3457</v>
      </c>
      <c r="B959" s="26" t="s">
        <v>1390</v>
      </c>
      <c r="C959" s="13" t="s">
        <v>11</v>
      </c>
      <c r="D959" s="14"/>
      <c r="E959" s="9">
        <v>120</v>
      </c>
      <c r="F959" s="9">
        <f aca="true" t="shared" si="31" ref="F959:F972">D959*E959</f>
        <v>0</v>
      </c>
      <c r="G959" s="13"/>
      <c r="H959" s="14" t="str">
        <f>HYPERLINK("https://pulti.ua/tv/pult-dlja-horizont-gorizont-k-70-white")</f>
        <v>https://pulti.ua/tv/pult-dlja-horizont-gorizont-k-70-white</v>
      </c>
    </row>
    <row r="960" spans="1:8" s="18" customFormat="1" ht="15" customHeight="1">
      <c r="A960" s="39">
        <v>3458</v>
      </c>
      <c r="B960" s="26" t="s">
        <v>893</v>
      </c>
      <c r="C960" s="13" t="s">
        <v>11</v>
      </c>
      <c r="D960" s="14"/>
      <c r="E960" s="9">
        <v>120</v>
      </c>
      <c r="F960" s="9">
        <f t="shared" si="31"/>
        <v>0</v>
      </c>
      <c r="G960" s="13"/>
      <c r="H960" s="14" t="str">
        <f>HYPERLINK("https://pulti.ua/tv/pult-dlja-horizont-gorizont-rb34h-c1")</f>
        <v>https://pulti.ua/tv/pult-dlja-horizont-gorizont-rb34h-c1</v>
      </c>
    </row>
    <row r="961" spans="1:8" s="18" customFormat="1" ht="15" customHeight="1">
      <c r="A961" s="11">
        <v>2619</v>
      </c>
      <c r="B961" s="12" t="s">
        <v>894</v>
      </c>
      <c r="C961" s="13" t="s">
        <v>11</v>
      </c>
      <c r="D961" s="14"/>
      <c r="E961" s="9">
        <v>60</v>
      </c>
      <c r="F961" s="9">
        <f t="shared" si="31"/>
        <v>0</v>
      </c>
      <c r="G961" s="13"/>
      <c r="H961" s="14" t="str">
        <f>HYPERLINK("https://pulti.ua/tv/pult-dlja-horizont-gorizont-rc-6-7-2")</f>
        <v>https://pulti.ua/tv/pult-dlja-horizont-gorizont-rc-6-7-2</v>
      </c>
    </row>
    <row r="962" spans="1:8" s="18" customFormat="1" ht="15" customHeight="1">
      <c r="A962" s="11">
        <v>2621</v>
      </c>
      <c r="B962" s="12" t="s">
        <v>895</v>
      </c>
      <c r="C962" s="13" t="s">
        <v>11</v>
      </c>
      <c r="D962" s="14"/>
      <c r="E962" s="9">
        <v>71.3</v>
      </c>
      <c r="F962" s="9">
        <f t="shared" si="31"/>
        <v>0</v>
      </c>
      <c r="G962" s="13"/>
      <c r="H962" s="14" t="str">
        <f>HYPERLINK("https://pulti.ua/tv/pult-dlja-horizont-gorizont-rc-7-7")</f>
        <v>https://pulti.ua/tv/pult-dlja-horizont-gorizont-rc-7-7</v>
      </c>
    </row>
    <row r="963" spans="1:8" s="18" customFormat="1" ht="15" customHeight="1">
      <c r="A963" s="39">
        <v>3217</v>
      </c>
      <c r="B963" s="26" t="s">
        <v>896</v>
      </c>
      <c r="C963" s="13" t="s">
        <v>11</v>
      </c>
      <c r="D963" s="14"/>
      <c r="E963" s="9">
        <v>82.5</v>
      </c>
      <c r="F963" s="9">
        <f t="shared" si="31"/>
        <v>0</v>
      </c>
      <c r="G963" s="13"/>
      <c r="H963" s="14" t="str">
        <f>HYPERLINK("https://pulti.ua/tv/pult-dlja-horizont-gorizont-rc-7-7-ic")</f>
        <v>https://pulti.ua/tv/pult-dlja-horizont-gorizont-rc-7-7-ic</v>
      </c>
    </row>
    <row r="964" spans="1:8" s="18" customFormat="1" ht="15" customHeight="1">
      <c r="A964" s="39">
        <v>3745</v>
      </c>
      <c r="B964" s="26" t="s">
        <v>897</v>
      </c>
      <c r="C964" s="13" t="s">
        <v>11</v>
      </c>
      <c r="D964" s="14"/>
      <c r="E964" s="9">
        <v>63.8</v>
      </c>
      <c r="F964" s="9">
        <f t="shared" si="31"/>
        <v>0</v>
      </c>
      <c r="G964" s="13"/>
      <c r="H964" s="14" t="str">
        <f>HYPERLINK("https://pulti.ua/tv/pult-dlja-horizont-rc-1153503-ic")</f>
        <v>https://pulti.ua/tv/pult-dlja-horizont-rc-1153503-ic</v>
      </c>
    </row>
    <row r="965" spans="1:8" s="18" customFormat="1" ht="15" customHeight="1">
      <c r="A965" s="11">
        <v>2591</v>
      </c>
      <c r="B965" s="12" t="s">
        <v>898</v>
      </c>
      <c r="C965" s="13" t="s">
        <v>11</v>
      </c>
      <c r="D965" s="14"/>
      <c r="E965" s="9">
        <v>48.8</v>
      </c>
      <c r="F965" s="9">
        <f t="shared" si="31"/>
        <v>0</v>
      </c>
      <c r="G965" s="13"/>
      <c r="H965" s="14" t="str">
        <f>HYPERLINK("https://pulti.ua/tv/pult-dlja-rc-4")</f>
        <v>https://pulti.ua/tv/pult-dlja-rc-4</v>
      </c>
    </row>
    <row r="966" spans="1:8" s="18" customFormat="1" ht="15" customHeight="1">
      <c r="A966" s="11">
        <v>2592</v>
      </c>
      <c r="B966" s="12" t="s">
        <v>899</v>
      </c>
      <c r="C966" s="13" t="s">
        <v>11</v>
      </c>
      <c r="D966" s="14"/>
      <c r="E966" s="9">
        <v>93.8</v>
      </c>
      <c r="F966" s="9">
        <f t="shared" si="31"/>
        <v>0</v>
      </c>
      <c r="G966" s="13"/>
      <c r="H966" s="14" t="str">
        <f>HYPERLINK("https://pulti.ua/tv/pult-west-k11f-c14-originalnii")</f>
        <v>https://pulti.ua/tv/pult-west-k11f-c14-originalnii</v>
      </c>
    </row>
    <row r="967" spans="1:8" s="18" customFormat="1" ht="15" customHeight="1">
      <c r="A967" s="11">
        <v>2593</v>
      </c>
      <c r="B967" s="12" t="s">
        <v>900</v>
      </c>
      <c r="C967" s="13" t="s">
        <v>11</v>
      </c>
      <c r="D967" s="14"/>
      <c r="E967" s="9">
        <v>90</v>
      </c>
      <c r="F967" s="9">
        <f t="shared" si="31"/>
        <v>0</v>
      </c>
      <c r="G967" s="13"/>
      <c r="H967" s="14" t="str">
        <f>HYPERLINK("https://pulti.ua/tv/pult-dlja-rc-4-fosfor")</f>
        <v>https://pulti.ua/tv/pult-dlja-rc-4-fosfor</v>
      </c>
    </row>
    <row r="968" spans="1:8" s="18" customFormat="1" ht="15" customHeight="1">
      <c r="A968" s="11">
        <v>2594</v>
      </c>
      <c r="B968" s="12" t="s">
        <v>901</v>
      </c>
      <c r="C968" s="13" t="s">
        <v>11</v>
      </c>
      <c r="D968" s="14"/>
      <c r="E968" s="9">
        <v>56.3</v>
      </c>
      <c r="F968" s="9">
        <f t="shared" si="31"/>
        <v>0</v>
      </c>
      <c r="G968" s="13"/>
      <c r="H968" s="14" t="str">
        <f>HYPERLINK("https://pulti.ua/tv/pult-dlja-rc-4f-ribka")</f>
        <v>https://pulti.ua/tv/pult-dlja-rc-4f-ribka</v>
      </c>
    </row>
    <row r="969" spans="1:8" s="18" customFormat="1" ht="15" customHeight="1">
      <c r="A969" s="11">
        <v>2616</v>
      </c>
      <c r="B969" s="12" t="s">
        <v>902</v>
      </c>
      <c r="C969" s="13" t="s">
        <v>11</v>
      </c>
      <c r="D969" s="14"/>
      <c r="E969" s="9">
        <v>105</v>
      </c>
      <c r="F969" s="9">
        <f t="shared" si="31"/>
        <v>0</v>
      </c>
      <c r="G969" s="13"/>
      <c r="H969" s="14" t="str">
        <f>HYPERLINK("https://pulti.ua/tv/pult-dlja-horizont-gorizont-rc-6500")</f>
        <v>https://pulti.ua/tv/pult-dlja-horizont-gorizont-rc-6500</v>
      </c>
    </row>
    <row r="970" spans="1:8" s="18" customFormat="1" ht="15" customHeight="1">
      <c r="A970" s="11">
        <v>3398</v>
      </c>
      <c r="B970" s="12" t="s">
        <v>903</v>
      </c>
      <c r="C970" s="13" t="s">
        <v>11</v>
      </c>
      <c r="D970" s="14"/>
      <c r="E970" s="9">
        <v>90</v>
      </c>
      <c r="F970" s="9">
        <f t="shared" si="31"/>
        <v>0</v>
      </c>
      <c r="G970" s="13"/>
      <c r="H970" s="14" t="str">
        <f>HYPERLINK("https://pulti.ua/tv/pult-dlja-horizont-gorizont-rc-l06")</f>
        <v>https://pulti.ua/tv/pult-dlja-horizont-gorizont-rc-l06</v>
      </c>
    </row>
    <row r="971" spans="1:8" s="18" customFormat="1" ht="15" customHeight="1">
      <c r="A971" s="39">
        <v>3948</v>
      </c>
      <c r="B971" s="26" t="s">
        <v>1391</v>
      </c>
      <c r="C971" s="13" t="s">
        <v>22</v>
      </c>
      <c r="D971" s="14"/>
      <c r="E971" s="9">
        <v>116.3</v>
      </c>
      <c r="F971" s="9">
        <f t="shared" si="31"/>
        <v>0</v>
      </c>
      <c r="G971" s="13"/>
      <c r="H971" s="14" t="str">
        <f>HYPERLINK("https://pulti.ua/tv/pult-dlja-rubin-yx-cy309e")</f>
        <v>https://pulti.ua/tv/pult-dlja-rubin-yx-cy309e</v>
      </c>
    </row>
    <row r="972" spans="1:8" s="18" customFormat="1" ht="15" customHeight="1">
      <c r="A972" s="11">
        <v>2627</v>
      </c>
      <c r="B972" s="12" t="s">
        <v>904</v>
      </c>
      <c r="C972" s="13" t="s">
        <v>11</v>
      </c>
      <c r="D972" s="14"/>
      <c r="E972" s="9">
        <v>97.5</v>
      </c>
      <c r="F972" s="9">
        <f t="shared" si="31"/>
        <v>0</v>
      </c>
      <c r="G972" s="13"/>
      <c r="H972" s="14" t="str">
        <f>HYPERLINK("https://pulti.ua/tv/pult-dlja-sokol-sokol-df-65")</f>
        <v>https://pulti.ua/tv/pult-dlja-sokol-sokol-df-65</v>
      </c>
    </row>
    <row r="973" spans="1:8" s="18" customFormat="1" ht="15" customHeight="1">
      <c r="A973" s="14"/>
      <c r="B973" s="16" t="s">
        <v>905</v>
      </c>
      <c r="C973" s="14"/>
      <c r="D973" s="14"/>
      <c r="E973" s="9"/>
      <c r="F973" s="9"/>
      <c r="G973" s="13"/>
      <c r="H973" s="14"/>
    </row>
    <row r="974" spans="1:8" s="18" customFormat="1" ht="15" customHeight="1">
      <c r="A974" s="39">
        <v>3898</v>
      </c>
      <c r="B974" s="26" t="s">
        <v>906</v>
      </c>
      <c r="C974" s="13" t="s">
        <v>905</v>
      </c>
      <c r="D974" s="14"/>
      <c r="E974" s="9">
        <v>67.5</v>
      </c>
      <c r="F974" s="9">
        <f aca="true" t="shared" si="32" ref="F974:F981">D974*E974</f>
        <v>0</v>
      </c>
      <c r="G974" s="13"/>
      <c r="H974" s="14" t="str">
        <f>HYPERLINK("https://pulti.ua/tyunera/pult-dlja-access-hd-dcd7304")</f>
        <v>https://pulti.ua/tyunera/pult-dlja-access-hd-dcd7304</v>
      </c>
    </row>
    <row r="975" spans="1:8" s="18" customFormat="1" ht="15" customHeight="1">
      <c r="A975" s="39">
        <v>3485</v>
      </c>
      <c r="B975" s="26" t="s">
        <v>907</v>
      </c>
      <c r="C975" s="13" t="s">
        <v>905</v>
      </c>
      <c r="D975" s="14"/>
      <c r="E975" s="9">
        <v>41.3</v>
      </c>
      <c r="F975" s="9">
        <f t="shared" si="32"/>
        <v>0</v>
      </c>
      <c r="G975" s="13"/>
      <c r="H975" s="14" t="str">
        <f>HYPERLINK("https://pulti.ua/tyunera/pult-dlja-amino-tz-rc43b-48")</f>
        <v>https://pulti.ua/tyunera/pult-dlja-amino-tz-rc43b-48</v>
      </c>
    </row>
    <row r="976" spans="1:8" s="18" customFormat="1" ht="15" customHeight="1">
      <c r="A976" s="39">
        <v>3933</v>
      </c>
      <c r="B976" s="26" t="s">
        <v>908</v>
      </c>
      <c r="C976" s="13" t="s">
        <v>909</v>
      </c>
      <c r="D976" s="14"/>
      <c r="E976" s="9">
        <v>71.3</v>
      </c>
      <c r="F976" s="9">
        <f t="shared" si="32"/>
        <v>0</v>
      </c>
      <c r="G976" s="13"/>
      <c r="H976" s="14" t="str">
        <f>HYPERLINK("https://pulti.ua/dvb-t2-resivery/pult-dlja-avest-tp-1001-elect-edr-7819")</f>
        <v>https://pulti.ua/dvb-t2-resivery/pult-dlja-avest-tp-1001-elect-edr-7819</v>
      </c>
    </row>
    <row r="977" spans="1:8" s="18" customFormat="1" ht="15" customHeight="1">
      <c r="A977" s="11">
        <v>2494</v>
      </c>
      <c r="B977" s="12" t="s">
        <v>910</v>
      </c>
      <c r="C977" s="13" t="s">
        <v>911</v>
      </c>
      <c r="D977" s="14"/>
      <c r="E977" s="9">
        <v>78.8</v>
      </c>
      <c r="F977" s="9">
        <f t="shared" si="32"/>
        <v>0</v>
      </c>
      <c r="G977" s="13"/>
      <c r="H977" s="14" t="str">
        <f>HYPERLINK("https://pulti.ua/tyunera/pult-dlja-bbk-rc0105")</f>
        <v>https://pulti.ua/tyunera/pult-dlja-bbk-rc0105</v>
      </c>
    </row>
    <row r="978" spans="1:8" s="18" customFormat="1" ht="15" customHeight="1">
      <c r="A978" s="39">
        <v>3647</v>
      </c>
      <c r="B978" s="26" t="s">
        <v>912</v>
      </c>
      <c r="C978" s="13" t="s">
        <v>909</v>
      </c>
      <c r="D978" s="14"/>
      <c r="E978" s="9">
        <v>63.8</v>
      </c>
      <c r="F978" s="9">
        <f t="shared" si="32"/>
        <v>0</v>
      </c>
      <c r="G978" s="13"/>
      <c r="H978" s="14" t="str">
        <f>HYPERLINK("https://pulti.ua/dvb-t2-resivery/pult-bbk-rc-smp712-dvb-t2-originalnii")</f>
        <v>https://pulti.ua/dvb-t2-resivery/pult-bbk-rc-smp712-dvb-t2-originalnii</v>
      </c>
    </row>
    <row r="979" spans="1:8" s="18" customFormat="1" ht="15" customHeight="1">
      <c r="A979" s="11">
        <v>4375</v>
      </c>
      <c r="B979" s="12" t="s">
        <v>913</v>
      </c>
      <c r="C979" s="13" t="s">
        <v>909</v>
      </c>
      <c r="D979" s="14"/>
      <c r="E979" s="9">
        <v>46.1</v>
      </c>
      <c r="F979" s="9">
        <f t="shared" si="32"/>
        <v>0</v>
      </c>
      <c r="G979" s="13"/>
      <c r="H979" s="14" t="str">
        <f>HYPERLINK("https://pulti.ua/dvb-t2-resivery/pult-dlya-beko-t777")</f>
        <v>https://pulti.ua/dvb-t2-resivery/pult-dlya-beko-t777</v>
      </c>
    </row>
    <row r="980" spans="1:8" s="18" customFormat="1" ht="15" customHeight="1">
      <c r="A980" s="39">
        <v>3860</v>
      </c>
      <c r="B980" s="26" t="s">
        <v>914</v>
      </c>
      <c r="C980" s="13" t="s">
        <v>905</v>
      </c>
      <c r="D980" s="14"/>
      <c r="E980" s="9">
        <v>28.1</v>
      </c>
      <c r="F980" s="9">
        <f t="shared" si="32"/>
        <v>0</v>
      </c>
      <c r="G980" s="13"/>
      <c r="H980" s="14" t="str">
        <f>HYPERLINK("https://pulti.ua/tyunera/pult-dlja-big-sat-golden-1cr-hd")</f>
        <v>https://pulti.ua/tyunera/pult-dlja-big-sat-golden-1cr-hd</v>
      </c>
    </row>
    <row r="981" spans="1:8" s="18" customFormat="1" ht="15" customHeight="1">
      <c r="A981" s="11">
        <v>3604</v>
      </c>
      <c r="B981" s="12" t="s">
        <v>915</v>
      </c>
      <c r="C981" s="13" t="s">
        <v>905</v>
      </c>
      <c r="D981" s="14"/>
      <c r="E981" s="9">
        <v>43.5</v>
      </c>
      <c r="F981" s="9">
        <f t="shared" si="32"/>
        <v>0</v>
      </c>
      <c r="G981" s="13"/>
      <c r="H981" s="14" t="str">
        <f>HYPERLINK("https://pulti.ua/tyunera/pult-dlja-globo-7010a-black")</f>
        <v>https://pulti.ua/tyunera/pult-dlja-globo-7010a-black</v>
      </c>
    </row>
    <row r="982" spans="1:8" s="18" customFormat="1" ht="15" customHeight="1">
      <c r="A982" s="39">
        <v>3630</v>
      </c>
      <c r="B982" s="26" t="s">
        <v>1392</v>
      </c>
      <c r="C982" s="13" t="s">
        <v>905</v>
      </c>
      <c r="D982" s="15" t="s">
        <v>1314</v>
      </c>
      <c r="E982" s="9">
        <v>45</v>
      </c>
      <c r="F982" s="9"/>
      <c r="G982" s="13"/>
      <c r="H982" s="14" t="str">
        <f>HYPERLINK("https://pulti.ua/tyunera/pult-dlja-globo-7010a-black-ic")</f>
        <v>https://pulti.ua/tyunera/pult-dlja-globo-7010a-black-ic</v>
      </c>
    </row>
    <row r="983" spans="1:8" s="18" customFormat="1" ht="15" customHeight="1">
      <c r="A983" s="39">
        <v>4072</v>
      </c>
      <c r="B983" s="26" t="s">
        <v>916</v>
      </c>
      <c r="C983" s="13" t="s">
        <v>909</v>
      </c>
      <c r="D983" s="14"/>
      <c r="E983" s="9">
        <v>93.8</v>
      </c>
      <c r="F983" s="9">
        <f aca="true" t="shared" si="33" ref="F983:F1016">D983*E983</f>
        <v>0</v>
      </c>
      <c r="G983" s="13"/>
      <c r="H983" s="14" t="str">
        <f>HYPERLINK("https://pulti.ua/dvb-t2-resivery/pult-dlya-cadenta-cdt-1652sb")</f>
        <v>https://pulti.ua/dvb-t2-resivery/pult-dlya-cadenta-cdt-1652sb</v>
      </c>
    </row>
    <row r="984" spans="1:8" s="18" customFormat="1" ht="15" customHeight="1">
      <c r="A984" s="39">
        <v>2495</v>
      </c>
      <c r="B984" s="26" t="s">
        <v>917</v>
      </c>
      <c r="C984" s="13" t="s">
        <v>905</v>
      </c>
      <c r="D984" s="14"/>
      <c r="E984" s="9">
        <v>131.3</v>
      </c>
      <c r="F984" s="9">
        <f t="shared" si="33"/>
        <v>0</v>
      </c>
      <c r="G984" s="13"/>
      <c r="H984" s="14" t="str">
        <f>HYPERLINK("https://pulti.ua/tyunera/pult-dlja-changhong-bk3b-c1")</f>
        <v>https://pulti.ua/tyunera/pult-dlja-changhong-bk3b-c1</v>
      </c>
    </row>
    <row r="985" spans="1:8" s="18" customFormat="1" ht="15" customHeight="1">
      <c r="A985" s="39">
        <v>3582</v>
      </c>
      <c r="B985" s="26" t="s">
        <v>918</v>
      </c>
      <c r="C985" s="13" t="s">
        <v>905</v>
      </c>
      <c r="D985" s="14"/>
      <c r="E985" s="9">
        <v>112.5</v>
      </c>
      <c r="F985" s="9">
        <f t="shared" si="33"/>
        <v>0</v>
      </c>
      <c r="G985" s="13"/>
      <c r="H985" s="14" t="str">
        <f>HYPERLINK("https://pulti.ua/tyunera/pult-dlja-continent-chd-04ir")</f>
        <v>https://pulti.ua/tyunera/pult-dlja-continent-chd-04ir</v>
      </c>
    </row>
    <row r="986" spans="1:8" s="18" customFormat="1" ht="15" customHeight="1">
      <c r="A986" s="11">
        <v>2496</v>
      </c>
      <c r="B986" s="12" t="s">
        <v>919</v>
      </c>
      <c r="C986" s="13" t="s">
        <v>905</v>
      </c>
      <c r="D986" s="14"/>
      <c r="E986" s="9">
        <v>52.5</v>
      </c>
      <c r="F986" s="9">
        <f t="shared" si="33"/>
        <v>0</v>
      </c>
      <c r="G986" s="13"/>
      <c r="H986" s="14" t="str">
        <f>HYPERLINK("https://pulti.ua/tyunera/pult-dlja-cosmosat-7405")</f>
        <v>https://pulti.ua/tyunera/pult-dlja-cosmosat-7405</v>
      </c>
    </row>
    <row r="987" spans="1:8" s="18" customFormat="1" ht="15" customHeight="1">
      <c r="A987" s="39">
        <v>4107</v>
      </c>
      <c r="B987" s="26" t="s">
        <v>920</v>
      </c>
      <c r="C987" s="13" t="s">
        <v>905</v>
      </c>
      <c r="D987" s="14"/>
      <c r="E987" s="9">
        <v>112.5</v>
      </c>
      <c r="F987" s="9">
        <f t="shared" si="33"/>
        <v>0</v>
      </c>
      <c r="G987" s="13"/>
      <c r="H987" s="14" t="str">
        <f>HYPERLINK("https://pulti.ua/tyunera/pult-dlya-cosmosat-7800-cpvr-d-cpvr-hd")</f>
        <v>https://pulti.ua/tyunera/pult-dlya-cosmosat-7800-cpvr-d-cpvr-hd</v>
      </c>
    </row>
    <row r="988" spans="1:8" s="18" customFormat="1" ht="15" customHeight="1">
      <c r="A988" s="39">
        <v>4431</v>
      </c>
      <c r="B988" s="26" t="s">
        <v>921</v>
      </c>
      <c r="C988" s="13" t="s">
        <v>909</v>
      </c>
      <c r="D988" s="14"/>
      <c r="E988" s="9">
        <v>88.1</v>
      </c>
      <c r="F988" s="9">
        <f t="shared" si="33"/>
        <v>0</v>
      </c>
      <c r="G988" s="13"/>
      <c r="H988" s="14" t="str">
        <f>HYPERLINK("https://pulti.ua/dvb-t2-resivery/pult-dlya-d-color-dc1302hd")</f>
        <v>https://pulti.ua/dvb-t2-resivery/pult-dlya-d-color-dc1302hd</v>
      </c>
    </row>
    <row r="989" spans="1:8" s="18" customFormat="1" ht="15" customHeight="1">
      <c r="A989" s="39">
        <v>4432</v>
      </c>
      <c r="B989" s="26" t="s">
        <v>922</v>
      </c>
      <c r="C989" s="13" t="s">
        <v>909</v>
      </c>
      <c r="D989" s="14"/>
      <c r="E989" s="9">
        <v>97.5</v>
      </c>
      <c r="F989" s="9">
        <f t="shared" si="33"/>
        <v>0</v>
      </c>
      <c r="G989" s="13"/>
      <c r="H989" s="14" t="str">
        <f>HYPERLINK("https://pulti.ua/dvb-t2-resivery/pult-dlya-d-color-dc802hd")</f>
        <v>https://pulti.ua/dvb-t2-resivery/pult-dlya-d-color-dc802hd</v>
      </c>
    </row>
    <row r="990" spans="1:8" s="18" customFormat="1" ht="15" customHeight="1">
      <c r="A990" s="39">
        <v>3850</v>
      </c>
      <c r="B990" s="26" t="s">
        <v>923</v>
      </c>
      <c r="C990" s="13" t="s">
        <v>909</v>
      </c>
      <c r="D990" s="14"/>
      <c r="E990" s="9">
        <v>105</v>
      </c>
      <c r="F990" s="9">
        <f t="shared" si="33"/>
        <v>0</v>
      </c>
      <c r="G990" s="13"/>
      <c r="H990" s="14" t="str">
        <f>HYPERLINK("https://pulti.ua/dvb-t2-resivery/pult-dlja-delta-systems-ds-530hd")</f>
        <v>https://pulti.ua/dvb-t2-resivery/pult-dlja-delta-systems-ds-530hd</v>
      </c>
    </row>
    <row r="991" spans="1:8" s="18" customFormat="1" ht="15" customHeight="1">
      <c r="A991" s="39">
        <v>4436</v>
      </c>
      <c r="B991" s="26" t="s">
        <v>924</v>
      </c>
      <c r="C991" s="13" t="s">
        <v>909</v>
      </c>
      <c r="D991" s="14"/>
      <c r="E991" s="9">
        <v>75</v>
      </c>
      <c r="F991" s="9">
        <f t="shared" si="33"/>
        <v>0</v>
      </c>
      <c r="G991" s="13"/>
      <c r="H991" s="14" t="str">
        <f>HYPERLINK("https://pulti.ua/dvb-t2-resivery/pult-dlya-digiline-ghb-898")</f>
        <v>https://pulti.ua/dvb-t2-resivery/pult-dlya-digiline-ghb-898</v>
      </c>
    </row>
    <row r="992" spans="1:8" s="18" customFormat="1" ht="15" customHeight="1">
      <c r="A992" s="11">
        <v>2497</v>
      </c>
      <c r="B992" s="12" t="s">
        <v>925</v>
      </c>
      <c r="C992" s="13" t="s">
        <v>911</v>
      </c>
      <c r="D992" s="14"/>
      <c r="E992" s="9">
        <v>93.8</v>
      </c>
      <c r="F992" s="9">
        <f t="shared" si="33"/>
        <v>0</v>
      </c>
      <c r="G992" s="13"/>
      <c r="H992" s="14" t="str">
        <f>HYPERLINK("https://pulti.ua/tyunera/pult-dlja-dit-dt-1")</f>
        <v>https://pulti.ua/tyunera/pult-dlja-dit-dt-1</v>
      </c>
    </row>
    <row r="993" spans="1:8" s="18" customFormat="1" ht="15" customHeight="1">
      <c r="A993" s="39">
        <v>2498</v>
      </c>
      <c r="B993" s="26" t="s">
        <v>926</v>
      </c>
      <c r="C993" s="13" t="s">
        <v>905</v>
      </c>
      <c r="D993" s="14"/>
      <c r="E993" s="9">
        <v>67.5</v>
      </c>
      <c r="F993" s="9">
        <f t="shared" si="33"/>
        <v>0</v>
      </c>
      <c r="G993" s="13"/>
      <c r="H993" s="14" t="str">
        <f>HYPERLINK("https://pulti.ua/tyunera/pult-dlja-dream-box-dm-500-ic")</f>
        <v>https://pulti.ua/tyunera/pult-dlja-dream-box-dm-500-ic</v>
      </c>
    </row>
    <row r="994" spans="1:8" s="18" customFormat="1" ht="15" customHeight="1">
      <c r="A994" s="39">
        <v>4429</v>
      </c>
      <c r="B994" s="26" t="s">
        <v>927</v>
      </c>
      <c r="C994" s="13" t="s">
        <v>909</v>
      </c>
      <c r="D994" s="14"/>
      <c r="E994" s="9">
        <v>88.1</v>
      </c>
      <c r="F994" s="9">
        <f t="shared" si="33"/>
        <v>0</v>
      </c>
      <c r="G994" s="13"/>
      <c r="H994" s="14" t="str">
        <f>HYPERLINK("https://pulti.ua/dvb-t2-resivery/pult-dlya-elect-edr-7916")</f>
        <v>https://pulti.ua/dvb-t2-resivery/pult-dlya-elect-edr-7916</v>
      </c>
    </row>
    <row r="995" spans="1:8" s="18" customFormat="1" ht="15" customHeight="1">
      <c r="A995" s="11">
        <v>4293</v>
      </c>
      <c r="B995" s="12" t="s">
        <v>928</v>
      </c>
      <c r="C995" s="13" t="s">
        <v>905</v>
      </c>
      <c r="D995" s="14"/>
      <c r="E995" s="9">
        <v>41.3</v>
      </c>
      <c r="F995" s="9">
        <f t="shared" si="33"/>
        <v>0</v>
      </c>
      <c r="G995" s="13"/>
      <c r="H995" s="14" t="str">
        <f>HYPERLINK("https://pulti.ua/tyunera/pult-dlya-eurosky-es-108")</f>
        <v>https://pulti.ua/tyunera/pult-dlya-eurosky-es-108</v>
      </c>
    </row>
    <row r="996" spans="1:8" s="18" customFormat="1" ht="15" customHeight="1">
      <c r="A996" s="39">
        <v>3897</v>
      </c>
      <c r="B996" s="26" t="s">
        <v>929</v>
      </c>
      <c r="C996" s="13" t="s">
        <v>905</v>
      </c>
      <c r="D996" s="14"/>
      <c r="E996" s="9">
        <v>58.1</v>
      </c>
      <c r="F996" s="9">
        <f t="shared" si="33"/>
        <v>0</v>
      </c>
      <c r="G996" s="13"/>
      <c r="H996" s="14" t="str">
        <f>HYPERLINK("https://pulti.ua/tyunera/pult-dlja-eurosky-es-108")</f>
        <v>https://pulti.ua/tyunera/pult-dlja-eurosky-es-108</v>
      </c>
    </row>
    <row r="997" spans="1:8" s="18" customFormat="1" ht="15" customHeight="1">
      <c r="A997" s="11">
        <v>4361</v>
      </c>
      <c r="B997" s="12" t="s">
        <v>930</v>
      </c>
      <c r="C997" s="13" t="s">
        <v>909</v>
      </c>
      <c r="D997" s="14"/>
      <c r="E997" s="9">
        <v>50.6</v>
      </c>
      <c r="F997" s="9">
        <f t="shared" si="33"/>
        <v>0</v>
      </c>
      <c r="G997" s="13"/>
      <c r="H997" s="14" t="str">
        <f>HYPERLINK("https://pulti.ua/dvb-t2-resivery/pult-dlya-eurosky-es-18")</f>
        <v>https://pulti.ua/dvb-t2-resivery/pult-dlya-eurosky-es-18</v>
      </c>
    </row>
    <row r="998" spans="1:8" s="18" customFormat="1" ht="15" customHeight="1">
      <c r="A998" s="11">
        <v>4289</v>
      </c>
      <c r="B998" s="12" t="s">
        <v>1393</v>
      </c>
      <c r="C998" s="13" t="s">
        <v>909</v>
      </c>
      <c r="D998" s="14"/>
      <c r="E998" s="9">
        <v>46.9</v>
      </c>
      <c r="F998" s="9">
        <f t="shared" si="33"/>
        <v>0</v>
      </c>
      <c r="G998" s="13"/>
      <c r="H998" s="14" t="str">
        <f>HYPERLINK("https://pulti.ua/dvb-t2-resivery/pult-dlya-eurosky-es-3011")</f>
        <v>https://pulti.ua/dvb-t2-resivery/pult-dlya-eurosky-es-3011</v>
      </c>
    </row>
    <row r="999" spans="1:8" s="18" customFormat="1" ht="15" customHeight="1">
      <c r="A999" s="39">
        <v>3724</v>
      </c>
      <c r="B999" s="26" t="s">
        <v>931</v>
      </c>
      <c r="C999" s="13" t="s">
        <v>909</v>
      </c>
      <c r="D999" s="14"/>
      <c r="E999" s="9">
        <v>48.8</v>
      </c>
      <c r="F999" s="9">
        <f t="shared" si="33"/>
        <v>0</v>
      </c>
      <c r="G999" s="13"/>
      <c r="H999" s="14" t="str">
        <f>HYPERLINK("https://pulti.ua/dvb-t2-resivery/pult-dlja-euro-sky-es-3011-3015d-dvb-t2-ic")</f>
        <v>https://pulti.ua/dvb-t2-resivery/pult-dlja-euro-sky-es-3011-3015d-dvb-t2-ic</v>
      </c>
    </row>
    <row r="1000" spans="1:8" s="18" customFormat="1" ht="15" customHeight="1">
      <c r="A1000" s="11">
        <v>2501</v>
      </c>
      <c r="B1000" s="12" t="s">
        <v>932</v>
      </c>
      <c r="C1000" s="13" t="s">
        <v>905</v>
      </c>
      <c r="D1000" s="14"/>
      <c r="E1000" s="9">
        <v>45</v>
      </c>
      <c r="F1000" s="9">
        <f t="shared" si="33"/>
        <v>0</v>
      </c>
      <c r="G1000" s="13"/>
      <c r="H1000" s="14" t="str">
        <f>HYPERLINK("https://pulti.ua/tyunera/pult-dlja-eurosky-es-4100")</f>
        <v>https://pulti.ua/tyunera/pult-dlja-eurosky-es-4100</v>
      </c>
    </row>
    <row r="1001" spans="1:8" s="18" customFormat="1" ht="15" customHeight="1">
      <c r="A1001" s="39">
        <v>3216</v>
      </c>
      <c r="B1001" s="26" t="s">
        <v>933</v>
      </c>
      <c r="C1001" s="13" t="s">
        <v>905</v>
      </c>
      <c r="D1001" s="14"/>
      <c r="E1001" s="9">
        <v>52.5</v>
      </c>
      <c r="F1001" s="9">
        <f t="shared" si="33"/>
        <v>0</v>
      </c>
      <c r="G1001" s="13"/>
      <c r="H1001" s="14" t="str">
        <f>HYPERLINK("https://pulti.ua/tyunera/pult-dlja-eurosky-es-4100-ic")</f>
        <v>https://pulti.ua/tyunera/pult-dlja-eurosky-es-4100-ic</v>
      </c>
    </row>
    <row r="1002" spans="1:8" s="18" customFormat="1" ht="15" customHeight="1">
      <c r="A1002" s="39">
        <v>3949</v>
      </c>
      <c r="B1002" s="26" t="s">
        <v>934</v>
      </c>
      <c r="C1002" s="13" t="s">
        <v>905</v>
      </c>
      <c r="D1002" s="14"/>
      <c r="E1002" s="9">
        <v>90</v>
      </c>
      <c r="F1002" s="9">
        <f t="shared" si="33"/>
        <v>0</v>
      </c>
      <c r="G1002" s="13"/>
      <c r="H1002" s="14" t="str">
        <f>HYPERLINK("https://pulti.ua/tyunera/pult-dlja-telekarta-evo-02-evo-ii")</f>
        <v>https://pulti.ua/tyunera/pult-dlja-telekarta-evo-02-evo-ii</v>
      </c>
    </row>
    <row r="1003" spans="1:8" s="18" customFormat="1" ht="15" customHeight="1">
      <c r="A1003" s="11">
        <v>2503</v>
      </c>
      <c r="B1003" s="12" t="s">
        <v>935</v>
      </c>
      <c r="C1003" s="13" t="s">
        <v>905</v>
      </c>
      <c r="D1003" s="14"/>
      <c r="E1003" s="9">
        <v>48.8</v>
      </c>
      <c r="F1003" s="9">
        <f t="shared" si="33"/>
        <v>0</v>
      </c>
      <c r="G1003" s="13"/>
      <c r="H1003" s="14" t="str">
        <f>HYPERLINK("https://pulti.ua/tyunera/pult-dlja-evolution-rc-700s")</f>
        <v>https://pulti.ua/tyunera/pult-dlja-evolution-rc-700s</v>
      </c>
    </row>
    <row r="1004" spans="1:8" s="18" customFormat="1" ht="15" customHeight="1">
      <c r="A1004" s="39">
        <v>3339</v>
      </c>
      <c r="B1004" s="26" t="s">
        <v>936</v>
      </c>
      <c r="C1004" s="13" t="s">
        <v>905</v>
      </c>
      <c r="D1004" s="14"/>
      <c r="E1004" s="9">
        <v>82.5</v>
      </c>
      <c r="F1004" s="9">
        <f t="shared" si="33"/>
        <v>0</v>
      </c>
      <c r="G1004" s="13"/>
      <c r="H1004" s="14" t="str">
        <f>HYPERLINK("https://pulti.ua/tyunera/pult-dlja-galaxy-innovations-gi-s1013")</f>
        <v>https://pulti.ua/tyunera/pult-dlja-galaxy-innovations-gi-s1013</v>
      </c>
    </row>
    <row r="1005" spans="1:8" s="18" customFormat="1" ht="15" customHeight="1">
      <c r="A1005" s="39">
        <v>2006</v>
      </c>
      <c r="B1005" s="26" t="s">
        <v>937</v>
      </c>
      <c r="C1005" s="13" t="s">
        <v>905</v>
      </c>
      <c r="D1005" s="14"/>
      <c r="E1005" s="9">
        <v>82.5</v>
      </c>
      <c r="F1005" s="9">
        <f t="shared" si="33"/>
        <v>0</v>
      </c>
      <c r="G1005" s="13"/>
      <c r="H1005" s="14" t="str">
        <f>HYPERLINK("https://pulti.ua/tyunera/pult-dlja-galaxy-innovations-gi-s2020")</f>
        <v>https://pulti.ua/tyunera/pult-dlja-galaxy-innovations-gi-s2020</v>
      </c>
    </row>
    <row r="1006" spans="1:8" s="18" customFormat="1" ht="15" customHeight="1">
      <c r="A1006" s="39">
        <v>3086</v>
      </c>
      <c r="B1006" s="26" t="s">
        <v>938</v>
      </c>
      <c r="C1006" s="13" t="s">
        <v>905</v>
      </c>
      <c r="D1006" s="14"/>
      <c r="E1006" s="9">
        <v>86.3</v>
      </c>
      <c r="F1006" s="9">
        <f t="shared" si="33"/>
        <v>0</v>
      </c>
      <c r="G1006" s="13"/>
      <c r="H1006" s="14" t="str">
        <f>HYPERLINK("https://pulti.ua/tyunera/pult-dlja-galaxy-innovations-gi-s2138")</f>
        <v>https://pulti.ua/tyunera/pult-dlja-galaxy-innovations-gi-s2138</v>
      </c>
    </row>
    <row r="1007" spans="1:8" s="18" customFormat="1" ht="15" customHeight="1">
      <c r="A1007" s="39">
        <v>3095</v>
      </c>
      <c r="B1007" s="26" t="s">
        <v>939</v>
      </c>
      <c r="C1007" s="13" t="s">
        <v>905</v>
      </c>
      <c r="D1007" s="14"/>
      <c r="E1007" s="9">
        <v>84.4</v>
      </c>
      <c r="F1007" s="9">
        <f t="shared" si="33"/>
        <v>0</v>
      </c>
      <c r="G1007" s="13"/>
      <c r="H1007" s="14" t="str">
        <f>HYPERLINK("https://pulti.ua/tyunera/pult-dlja-galaxy-innovations-gi-s8120")</f>
        <v>https://pulti.ua/tyunera/pult-dlja-galaxy-innovations-gi-s8120</v>
      </c>
    </row>
    <row r="1008" spans="1:8" s="18" customFormat="1" ht="15" customHeight="1">
      <c r="A1008" s="11">
        <v>4612</v>
      </c>
      <c r="B1008" s="12" t="s">
        <v>1394</v>
      </c>
      <c r="C1008" s="13" t="s">
        <v>940</v>
      </c>
      <c r="D1008" s="14"/>
      <c r="E1008" s="9">
        <v>121.9</v>
      </c>
      <c r="F1008" s="9">
        <f t="shared" si="33"/>
        <v>0</v>
      </c>
      <c r="G1008" s="13"/>
      <c r="H1008" s="14" t="str">
        <f>HYPERLINK("https://pulti.ua/mediapleery/pult-dlya-geotex-gtx-r10i-pro")</f>
        <v>https://pulti.ua/mediapleery/pult-dlya-geotex-gtx-r10i-pro</v>
      </c>
    </row>
    <row r="1009" spans="1:8" s="18" customFormat="1" ht="15" customHeight="1">
      <c r="A1009" s="39">
        <v>3974</v>
      </c>
      <c r="B1009" s="26" t="s">
        <v>941</v>
      </c>
      <c r="C1009" s="13" t="s">
        <v>905</v>
      </c>
      <c r="D1009" s="14"/>
      <c r="E1009" s="9">
        <v>48.8</v>
      </c>
      <c r="F1009" s="9">
        <f t="shared" si="33"/>
        <v>0</v>
      </c>
      <c r="G1009" s="13"/>
      <c r="H1009" s="14" t="str">
        <f>HYPERLINK("https://pulti.ua/tyunera/pult-dlja-galaxy-innovations-hd-slim")</f>
        <v>https://pulti.ua/tyunera/pult-dlja-galaxy-innovations-hd-slim</v>
      </c>
    </row>
    <row r="1010" spans="1:8" s="18" customFormat="1" ht="15" customHeight="1">
      <c r="A1010" s="11">
        <v>2504</v>
      </c>
      <c r="B1010" s="12" t="s">
        <v>942</v>
      </c>
      <c r="C1010" s="13" t="s">
        <v>911</v>
      </c>
      <c r="D1010" s="14"/>
      <c r="E1010" s="9">
        <v>101.3</v>
      </c>
      <c r="F1010" s="9">
        <f t="shared" si="33"/>
        <v>0</v>
      </c>
      <c r="G1010" s="13"/>
      <c r="H1010" s="14" t="str">
        <f>HYPERLINK("https://pulti.ua/tyunera/pult-dlja-global-s300")</f>
        <v>https://pulti.ua/tyunera/pult-dlja-global-s300</v>
      </c>
    </row>
    <row r="1011" spans="1:8" s="18" customFormat="1" ht="15" customHeight="1">
      <c r="A1011" s="11">
        <v>2505</v>
      </c>
      <c r="B1011" s="12" t="s">
        <v>943</v>
      </c>
      <c r="C1011" s="13" t="s">
        <v>905</v>
      </c>
      <c r="D1011" s="14"/>
      <c r="E1011" s="9">
        <v>48.8</v>
      </c>
      <c r="F1011" s="9">
        <f t="shared" si="33"/>
        <v>0</v>
      </c>
      <c r="G1011" s="13"/>
      <c r="H1011" s="14" t="str">
        <f>HYPERLINK("https://pulti.ua/tyunera/pult-dlja-globo-6000")</f>
        <v>https://pulti.ua/tyunera/pult-dlja-globo-6000</v>
      </c>
    </row>
    <row r="1012" spans="1:8" s="18" customFormat="1" ht="15" customHeight="1">
      <c r="A1012" s="11">
        <v>2507</v>
      </c>
      <c r="B1012" s="12" t="s">
        <v>944</v>
      </c>
      <c r="C1012" s="13" t="s">
        <v>905</v>
      </c>
      <c r="D1012" s="14"/>
      <c r="E1012" s="9">
        <v>44.3</v>
      </c>
      <c r="F1012" s="9">
        <f t="shared" si="33"/>
        <v>0</v>
      </c>
      <c r="G1012" s="13"/>
      <c r="H1012" s="14" t="str">
        <f>HYPERLINK("https://pulti.ua/tyunera/pult-dlja-globo-7010a")</f>
        <v>https://pulti.ua/tyunera/pult-dlja-globo-7010a</v>
      </c>
    </row>
    <row r="1013" spans="1:8" s="18" customFormat="1" ht="15" customHeight="1">
      <c r="A1013" s="39">
        <v>2015</v>
      </c>
      <c r="B1013" s="26" t="s">
        <v>945</v>
      </c>
      <c r="C1013" s="13" t="s">
        <v>905</v>
      </c>
      <c r="D1013" s="14"/>
      <c r="E1013" s="9">
        <v>50.6</v>
      </c>
      <c r="F1013" s="9">
        <f t="shared" si="33"/>
        <v>0</v>
      </c>
      <c r="G1013" s="13"/>
      <c r="H1013" s="14" t="str">
        <f>HYPERLINK("https://pulti.ua/tyunera/pult-dlja-globo-7010a-ic")</f>
        <v>https://pulti.ua/tyunera/pult-dlja-globo-7010a-ic</v>
      </c>
    </row>
    <row r="1014" spans="1:8" s="18" customFormat="1" ht="15" customHeight="1">
      <c r="A1014" s="11">
        <v>2509</v>
      </c>
      <c r="B1014" s="12" t="s">
        <v>946</v>
      </c>
      <c r="C1014" s="13" t="s">
        <v>905</v>
      </c>
      <c r="D1014" s="14"/>
      <c r="E1014" s="9">
        <v>67.5</v>
      </c>
      <c r="F1014" s="9">
        <f t="shared" si="33"/>
        <v>0</v>
      </c>
      <c r="G1014" s="13"/>
      <c r="H1014" s="14" t="str">
        <f>HYPERLINK("https://pulti.ua/tyunera/pult-dlja-globo-kr-110-noc")</f>
        <v>https://pulti.ua/tyunera/pult-dlja-globo-kr-110-noc</v>
      </c>
    </row>
    <row r="1015" spans="1:8" s="18" customFormat="1" ht="15" customHeight="1">
      <c r="A1015" s="11">
        <v>2510</v>
      </c>
      <c r="B1015" s="12" t="s">
        <v>947</v>
      </c>
      <c r="C1015" s="13" t="s">
        <v>905</v>
      </c>
      <c r="D1015" s="14"/>
      <c r="E1015" s="9">
        <v>30</v>
      </c>
      <c r="F1015" s="9">
        <f t="shared" si="33"/>
        <v>0</v>
      </c>
      <c r="G1015" s="13"/>
      <c r="H1015" s="14" t="str">
        <f>HYPERLINK("https://pulti.ua/tyunera/pult-dlja-globo-rc-x10")</f>
        <v>https://pulti.ua/tyunera/pult-dlja-globo-rc-x10</v>
      </c>
    </row>
    <row r="1016" spans="1:8" s="18" customFormat="1" ht="15" customHeight="1">
      <c r="A1016" s="11">
        <v>3859</v>
      </c>
      <c r="B1016" s="12" t="s">
        <v>948</v>
      </c>
      <c r="C1016" s="13" t="s">
        <v>905</v>
      </c>
      <c r="D1016" s="14"/>
      <c r="E1016" s="9">
        <v>33.8</v>
      </c>
      <c r="F1016" s="9">
        <f t="shared" si="33"/>
        <v>0</v>
      </c>
      <c r="G1016" s="13"/>
      <c r="H1016" s="14" t="str">
        <f>HYPERLINK("https://pulti.ua/tyunera/pult-dlja-globo-x90-x80")</f>
        <v>https://pulti.ua/tyunera/pult-dlja-globo-x90-x80</v>
      </c>
    </row>
    <row r="1017" spans="1:8" s="18" customFormat="1" ht="15" customHeight="1">
      <c r="A1017" s="39">
        <v>3812</v>
      </c>
      <c r="B1017" s="26" t="s">
        <v>1395</v>
      </c>
      <c r="C1017" s="13" t="s">
        <v>909</v>
      </c>
      <c r="D1017" s="15" t="s">
        <v>1314</v>
      </c>
      <c r="E1017" s="9">
        <v>48.8</v>
      </c>
      <c r="F1017" s="9"/>
      <c r="G1017" s="13"/>
      <c r="H1017" s="14" t="str">
        <f>HYPERLINK("https://pulti.ua/dvb-t2-resivery/pult-dlja-goldstar-gs8833hd")</f>
        <v>https://pulti.ua/dvb-t2-resivery/pult-dlja-goldstar-gs8833hd</v>
      </c>
    </row>
    <row r="1018" spans="1:8" s="18" customFormat="1" ht="15" customHeight="1">
      <c r="A1018" s="11">
        <v>4290</v>
      </c>
      <c r="B1018" s="12" t="s">
        <v>1396</v>
      </c>
      <c r="C1018" s="13" t="s">
        <v>909</v>
      </c>
      <c r="D1018" s="14"/>
      <c r="E1018" s="9">
        <v>48.8</v>
      </c>
      <c r="F1018" s="9">
        <f aca="true" t="shared" si="34" ref="F1018:F1076">D1018*E1018</f>
        <v>0</v>
      </c>
      <c r="G1018" s="13"/>
      <c r="H1018" s="14" t="str">
        <f>HYPERLINK("https://pulti.ua/dvb-t2-resivery/pult-dlya-goldstar-gs8833hd")</f>
        <v>https://pulti.ua/dvb-t2-resivery/pult-dlya-goldstar-gs8833hd</v>
      </c>
    </row>
    <row r="1019" spans="1:8" s="18" customFormat="1" ht="15" customHeight="1">
      <c r="A1019" s="11">
        <v>3899</v>
      </c>
      <c r="B1019" s="12" t="s">
        <v>949</v>
      </c>
      <c r="C1019" s="13" t="s">
        <v>909</v>
      </c>
      <c r="D1019" s="14"/>
      <c r="E1019" s="9">
        <v>46.9</v>
      </c>
      <c r="F1019" s="9">
        <f t="shared" si="34"/>
        <v>0</v>
      </c>
      <c r="G1019" s="13"/>
      <c r="H1019" s="14" t="str">
        <f>HYPERLINK("https://pulti.ua/dvb-t2-resivery/pult-dlja-goldstar-gs8830hd")</f>
        <v>https://pulti.ua/dvb-t2-resivery/pult-dlja-goldstar-gs8830hd</v>
      </c>
    </row>
    <row r="1020" spans="1:8" s="18" customFormat="1" ht="15" customHeight="1">
      <c r="A1020" s="11">
        <v>2513</v>
      </c>
      <c r="B1020" s="12" t="s">
        <v>950</v>
      </c>
      <c r="C1020" s="13" t="s">
        <v>905</v>
      </c>
      <c r="D1020" s="14"/>
      <c r="E1020" s="9">
        <v>45</v>
      </c>
      <c r="F1020" s="9">
        <f t="shared" si="34"/>
        <v>0</v>
      </c>
      <c r="G1020" s="13"/>
      <c r="H1020" s="14" t="str">
        <f>HYPERLINK("https://pulti.ua/tyunera/pult-dlja-golden-interstar-dsr-7700")</f>
        <v>https://pulti.ua/tyunera/pult-dlja-golden-interstar-dsr-7700</v>
      </c>
    </row>
    <row r="1021" spans="1:8" s="18" customFormat="1" ht="15" customHeight="1">
      <c r="A1021" s="39">
        <v>3863</v>
      </c>
      <c r="B1021" s="26" t="s">
        <v>951</v>
      </c>
      <c r="C1021" s="13" t="s">
        <v>905</v>
      </c>
      <c r="D1021" s="14"/>
      <c r="E1021" s="9">
        <v>67.5</v>
      </c>
      <c r="F1021" s="9">
        <f t="shared" si="34"/>
        <v>0</v>
      </c>
      <c r="G1021" s="13"/>
      <c r="H1021" s="14" t="str">
        <f>HYPERLINK("https://pulti.ua/tyunera/pult-dlja-golden-interstar-fta-s")</f>
        <v>https://pulti.ua/tyunera/pult-dlja-golden-interstar-fta-s</v>
      </c>
    </row>
    <row r="1022" spans="1:8" s="18" customFormat="1" ht="15" customHeight="1">
      <c r="A1022" s="39">
        <v>3554</v>
      </c>
      <c r="B1022" s="26" t="s">
        <v>952</v>
      </c>
      <c r="C1022" s="13" t="s">
        <v>905</v>
      </c>
      <c r="D1022" s="14"/>
      <c r="E1022" s="9">
        <v>142.5</v>
      </c>
      <c r="F1022" s="9">
        <f t="shared" si="34"/>
        <v>0</v>
      </c>
      <c r="G1022" s="13"/>
      <c r="H1022" s="14" t="str">
        <f>HYPERLINK("https://pulti.ua/tyunera/pult-dlja-golden-interstar-gi-ts-84ci-pvrx")</f>
        <v>https://pulti.ua/tyunera/pult-dlja-golden-interstar-gi-ts-84ci-pvrx</v>
      </c>
    </row>
    <row r="1023" spans="1:8" s="18" customFormat="1" ht="15" customHeight="1">
      <c r="A1023" s="11">
        <v>2951</v>
      </c>
      <c r="B1023" s="12" t="s">
        <v>953</v>
      </c>
      <c r="C1023" s="13" t="s">
        <v>905</v>
      </c>
      <c r="D1023" s="14"/>
      <c r="E1023" s="9">
        <v>30</v>
      </c>
      <c r="F1023" s="9">
        <f t="shared" si="34"/>
        <v>0</v>
      </c>
      <c r="G1023" s="13"/>
      <c r="H1023" s="14" t="str">
        <f>HYPERLINK("https://pulti.ua/tyunera/pult-dlja-golden-interstar-xxrec-gi-s905-hd")</f>
        <v>https://pulti.ua/tyunera/pult-dlja-golden-interstar-xxrec-gi-s905-hd</v>
      </c>
    </row>
    <row r="1024" spans="1:8" s="18" customFormat="1" ht="15" customHeight="1">
      <c r="A1024" s="39">
        <v>3864</v>
      </c>
      <c r="B1024" s="26" t="s">
        <v>954</v>
      </c>
      <c r="C1024" s="13" t="s">
        <v>905</v>
      </c>
      <c r="D1024" s="14"/>
      <c r="E1024" s="9">
        <v>67.5</v>
      </c>
      <c r="F1024" s="9">
        <f t="shared" si="34"/>
        <v>0</v>
      </c>
      <c r="G1024" s="13"/>
      <c r="H1024" s="14" t="str">
        <f>HYPERLINK("https://pulti.ua/tyunera/pult-dlja-golden-interstar-hd-ca-class")</f>
        <v>https://pulti.ua/tyunera/pult-dlja-golden-interstar-hd-ca-class</v>
      </c>
    </row>
    <row r="1025" spans="1:8" s="18" customFormat="1" ht="15" customHeight="1">
      <c r="A1025" s="39">
        <v>3779</v>
      </c>
      <c r="B1025" s="26" t="s">
        <v>955</v>
      </c>
      <c r="C1025" s="13" t="s">
        <v>909</v>
      </c>
      <c r="D1025" s="14"/>
      <c r="E1025" s="9">
        <v>61.9</v>
      </c>
      <c r="F1025" s="9">
        <f t="shared" si="34"/>
        <v>0</v>
      </c>
      <c r="G1025" s="13"/>
      <c r="H1025" s="14" t="str">
        <f>HYPERLINK("https://pulti.ua/dvb-t2-resivery/pult-dlja-goldmaster-57g-ic")</f>
        <v>https://pulti.ua/dvb-t2-resivery/pult-dlja-goldmaster-57g-ic</v>
      </c>
    </row>
    <row r="1026" spans="1:8" s="18" customFormat="1" ht="15" customHeight="1">
      <c r="A1026" s="39">
        <v>3781</v>
      </c>
      <c r="B1026" s="26" t="s">
        <v>956</v>
      </c>
      <c r="C1026" s="13" t="s">
        <v>909</v>
      </c>
      <c r="D1026" s="14"/>
      <c r="E1026" s="9">
        <v>78.8</v>
      </c>
      <c r="F1026" s="9">
        <f t="shared" si="34"/>
        <v>0</v>
      </c>
      <c r="G1026" s="13"/>
      <c r="H1026" s="14" t="str">
        <f>HYPERLINK("https://pulti.ua/dvb-t2-resivery/pult-dlja-goldmaster-t-303sd-mini-ic")</f>
        <v>https://pulti.ua/dvb-t2-resivery/pult-dlja-goldmaster-t-303sd-mini-ic</v>
      </c>
    </row>
    <row r="1027" spans="1:8" s="18" customFormat="1" ht="15" customHeight="1">
      <c r="A1027" s="39">
        <v>3780</v>
      </c>
      <c r="B1027" s="26" t="s">
        <v>957</v>
      </c>
      <c r="C1027" s="13" t="s">
        <v>909</v>
      </c>
      <c r="D1027" s="14"/>
      <c r="E1027" s="9">
        <v>60</v>
      </c>
      <c r="F1027" s="9">
        <f t="shared" si="34"/>
        <v>0</v>
      </c>
      <c r="G1027" s="13"/>
      <c r="H1027" s="14" t="str">
        <f>HYPERLINK("https://pulti.ua/dvb-t2-resivery/pult-dlja-goldmaster-t-303sd-ic")</f>
        <v>https://pulti.ua/dvb-t2-resivery/pult-dlja-goldmaster-t-303sd-ic</v>
      </c>
    </row>
    <row r="1028" spans="1:8" s="18" customFormat="1" ht="15" customHeight="1">
      <c r="A1028" s="39">
        <v>3782</v>
      </c>
      <c r="B1028" s="26" t="s">
        <v>958</v>
      </c>
      <c r="C1028" s="13" t="s">
        <v>909</v>
      </c>
      <c r="D1028" s="14"/>
      <c r="E1028" s="9">
        <v>86.3</v>
      </c>
      <c r="F1028" s="9">
        <f t="shared" si="34"/>
        <v>0</v>
      </c>
      <c r="G1028" s="13"/>
      <c r="H1028" s="14" t="str">
        <f>HYPERLINK("https://pulti.ua/dvb-t2-resivery/pult-dlja-goldmaster-t-707hd-hd1-ic")</f>
        <v>https://pulti.ua/dvb-t2-resivery/pult-dlja-goldmaster-t-707hd-hd1-ic</v>
      </c>
    </row>
    <row r="1029" spans="1:8" s="18" customFormat="1" ht="15" customHeight="1">
      <c r="A1029" s="39">
        <v>4435</v>
      </c>
      <c r="B1029" s="26" t="s">
        <v>959</v>
      </c>
      <c r="C1029" s="13" t="s">
        <v>909</v>
      </c>
      <c r="D1029" s="14"/>
      <c r="E1029" s="9">
        <v>101.3</v>
      </c>
      <c r="F1029" s="9">
        <f t="shared" si="34"/>
        <v>0</v>
      </c>
      <c r="G1029" s="13"/>
      <c r="H1029" s="14" t="str">
        <f>HYPERLINK("https://pulti.ua/dvb-t2-resivery/pult-dlya-hdbox-t2-pro")</f>
        <v>https://pulti.ua/dvb-t2-resivery/pult-dlya-hdbox-t2-pro</v>
      </c>
    </row>
    <row r="1030" spans="1:8" s="18" customFormat="1" ht="15" customHeight="1">
      <c r="A1030" s="39">
        <v>3569</v>
      </c>
      <c r="B1030" s="26" t="s">
        <v>960</v>
      </c>
      <c r="C1030" s="13" t="s">
        <v>905</v>
      </c>
      <c r="D1030" s="14"/>
      <c r="E1030" s="9">
        <v>146.3</v>
      </c>
      <c r="F1030" s="9">
        <f t="shared" si="34"/>
        <v>0</v>
      </c>
      <c r="G1030" s="13"/>
      <c r="H1030" s="14" t="str">
        <f>HYPERLINK("https://pulti.ua/tyunera/pult-dlja-humax-nd-2030c-5960")</f>
        <v>https://pulti.ua/tyunera/pult-dlja-humax-nd-2030c-5960</v>
      </c>
    </row>
    <row r="1031" spans="1:8" s="18" customFormat="1" ht="15" customHeight="1">
      <c r="A1031" s="39">
        <v>3218</v>
      </c>
      <c r="B1031" s="26" t="s">
        <v>961</v>
      </c>
      <c r="C1031" s="13" t="s">
        <v>905</v>
      </c>
      <c r="D1031" s="14"/>
      <c r="E1031" s="9">
        <v>57.4</v>
      </c>
      <c r="F1031" s="9">
        <f t="shared" si="34"/>
        <v>0</v>
      </c>
      <c r="G1031" s="13"/>
      <c r="H1031" s="14" t="str">
        <f>HYPERLINK("https://pulti.ua/tyunera/pult-dlja-humax--rs-101p-ic")</f>
        <v>https://pulti.ua/tyunera/pult-dlja-humax--rs-101p-ic</v>
      </c>
    </row>
    <row r="1032" spans="1:8" s="18" customFormat="1" ht="15" customHeight="1">
      <c r="A1032" s="39">
        <v>2522</v>
      </c>
      <c r="B1032" s="26" t="s">
        <v>962</v>
      </c>
      <c r="C1032" s="13" t="s">
        <v>905</v>
      </c>
      <c r="D1032" s="14"/>
      <c r="E1032" s="9">
        <v>142.5</v>
      </c>
      <c r="F1032" s="9">
        <f t="shared" si="34"/>
        <v>0</v>
      </c>
      <c r="G1032" s="13"/>
      <c r="H1032" s="14" t="str">
        <f>HYPERLINK("https://pulti.ua/tyunera/pult-dlja-humax-rs-210p")</f>
        <v>https://pulti.ua/tyunera/pult-dlja-humax-rs-210p</v>
      </c>
    </row>
    <row r="1033" spans="1:8" s="18" customFormat="1" ht="15" customHeight="1">
      <c r="A1033" s="11">
        <v>2523</v>
      </c>
      <c r="B1033" s="12" t="s">
        <v>963</v>
      </c>
      <c r="C1033" s="13" t="s">
        <v>905</v>
      </c>
      <c r="D1033" s="14"/>
      <c r="E1033" s="9">
        <v>120</v>
      </c>
      <c r="F1033" s="9">
        <f t="shared" si="34"/>
        <v>0</v>
      </c>
      <c r="G1033" s="13"/>
      <c r="H1033" s="14" t="str">
        <f>HYPERLINK("https://pulti.ua/tyunera/pult-dlja-humax--vds-3300")</f>
        <v>https://pulti.ua/tyunera/pult-dlja-humax--vds-3300</v>
      </c>
    </row>
    <row r="1034" spans="1:8" s="18" customFormat="1" ht="15" customHeight="1">
      <c r="A1034" s="11">
        <v>4002</v>
      </c>
      <c r="B1034" s="12" t="s">
        <v>964</v>
      </c>
      <c r="C1034" s="13" t="s">
        <v>965</v>
      </c>
      <c r="D1034" s="14"/>
      <c r="E1034" s="9">
        <v>56.3</v>
      </c>
      <c r="F1034" s="9">
        <f t="shared" si="34"/>
        <v>0</v>
      </c>
      <c r="G1034" s="13"/>
      <c r="H1034" s="14" t="str">
        <f>HYPERLINK("https://pulti.ua/mediapleery/pult-dlja-iptv-tv-171-kyivstar")</f>
        <v>https://pulti.ua/mediapleery/pult-dlja-iptv-tv-171-kyivstar</v>
      </c>
    </row>
    <row r="1035" spans="1:8" s="18" customFormat="1" ht="15" customHeight="1">
      <c r="A1035" s="39">
        <v>3690</v>
      </c>
      <c r="B1035" s="26" t="s">
        <v>966</v>
      </c>
      <c r="C1035" s="13" t="s">
        <v>909</v>
      </c>
      <c r="D1035" s="14"/>
      <c r="E1035" s="9">
        <v>63.8</v>
      </c>
      <c r="F1035" s="9">
        <f t="shared" si="34"/>
        <v>0</v>
      </c>
      <c r="G1035" s="13"/>
      <c r="H1035" s="14" t="str">
        <f>HYPERLINK("https://pulti.ua/dvb-t2-resivery/pult-dlja-kaskad-va2102hd")</f>
        <v>https://pulti.ua/dvb-t2-resivery/pult-dlja-kaskad-va2102hd</v>
      </c>
    </row>
    <row r="1036" spans="1:8" s="18" customFormat="1" ht="15" customHeight="1">
      <c r="A1036" s="11">
        <v>2524</v>
      </c>
      <c r="B1036" s="12" t="s">
        <v>967</v>
      </c>
      <c r="C1036" s="13" t="s">
        <v>905</v>
      </c>
      <c r="D1036" s="14"/>
      <c r="E1036" s="9">
        <v>63.8</v>
      </c>
      <c r="F1036" s="9">
        <f t="shared" si="34"/>
        <v>0</v>
      </c>
      <c r="G1036" s="13"/>
      <c r="H1036" s="14" t="str">
        <f>HYPERLINK("https://pulti.ua/tyunera/pult-dlja-konka-dvb-trophy-1001s")</f>
        <v>https://pulti.ua/tyunera/pult-dlja-konka-dvb-trophy-1001s</v>
      </c>
    </row>
    <row r="1037" spans="1:8" s="18" customFormat="1" ht="15" customHeight="1">
      <c r="A1037" s="11">
        <v>4268</v>
      </c>
      <c r="B1037" s="12" t="s">
        <v>1397</v>
      </c>
      <c r="C1037" s="13" t="s">
        <v>905</v>
      </c>
      <c r="D1037" s="14"/>
      <c r="E1037" s="9">
        <v>43.9</v>
      </c>
      <c r="F1037" s="9">
        <f t="shared" si="34"/>
        <v>0</v>
      </c>
      <c r="G1037" s="13"/>
      <c r="H1037" s="14" t="str">
        <f>HYPERLINK("https://pulti.ua/tyunera/pult-dlya-lorton-s2-33")</f>
        <v>https://pulti.ua/tyunera/pult-dlya-lorton-s2-33</v>
      </c>
    </row>
    <row r="1038" spans="1:8" s="18" customFormat="1" ht="15" customHeight="1">
      <c r="A1038" s="39">
        <v>3286</v>
      </c>
      <c r="B1038" s="26" t="s">
        <v>968</v>
      </c>
      <c r="C1038" s="13" t="s">
        <v>965</v>
      </c>
      <c r="D1038" s="14"/>
      <c r="E1038" s="9">
        <v>71.3</v>
      </c>
      <c r="F1038" s="9">
        <f t="shared" si="34"/>
        <v>0</v>
      </c>
      <c r="G1038" s="13"/>
      <c r="H1038" s="14" t="str">
        <f>HYPERLINK("https://pulti.ua/mediapleery/pult-dlja-mag-250--iptv")</f>
        <v>https://pulti.ua/mediapleery/pult-dlja-mag-250--iptv</v>
      </c>
    </row>
    <row r="1039" spans="1:8" s="18" customFormat="1" ht="15" customHeight="1">
      <c r="A1039" s="39">
        <v>3748</v>
      </c>
      <c r="B1039" s="26" t="s">
        <v>1398</v>
      </c>
      <c r="C1039" s="13" t="s">
        <v>965</v>
      </c>
      <c r="D1039" s="14"/>
      <c r="E1039" s="9">
        <v>82.5</v>
      </c>
      <c r="F1039" s="9">
        <f t="shared" si="34"/>
        <v>0</v>
      </c>
      <c r="G1039" s="13"/>
      <c r="H1039" s="14" t="str">
        <f>HYPERLINK("https://pulti.ua/mediapleery/pult-dlja-mag-250-c-obuchaemim-blokom-dlja-tv")</f>
        <v>https://pulti.ua/mediapleery/pult-dlja-mag-250-c-obuchaemim-blokom-dlja-tv</v>
      </c>
    </row>
    <row r="1040" spans="1:8" s="18" customFormat="1" ht="15" customHeight="1">
      <c r="A1040" s="39">
        <v>3749</v>
      </c>
      <c r="B1040" s="26" t="s">
        <v>1399</v>
      </c>
      <c r="C1040" s="13" t="s">
        <v>965</v>
      </c>
      <c r="D1040" s="14"/>
      <c r="E1040" s="9">
        <v>65.6</v>
      </c>
      <c r="F1040" s="9">
        <f t="shared" si="34"/>
        <v>0</v>
      </c>
      <c r="G1040" s="13"/>
      <c r="H1040" s="14" t="str">
        <f>HYPERLINK("https://pulti.ua/mediapleery/pult-mag-254-novogo-obrazca-c-obuchaemim-blokom-dlja-tv--iptv")</f>
        <v>https://pulti.ua/mediapleery/pult-mag-254-novogo-obrazca-c-obuchaemim-blokom-dlja-tv--iptv</v>
      </c>
    </row>
    <row r="1041" spans="1:8" s="18" customFormat="1" ht="15" customHeight="1">
      <c r="A1041" s="39">
        <v>3938</v>
      </c>
      <c r="B1041" s="26" t="s">
        <v>1400</v>
      </c>
      <c r="C1041" s="13" t="s">
        <v>909</v>
      </c>
      <c r="D1041" s="14"/>
      <c r="E1041" s="9">
        <v>82.5</v>
      </c>
      <c r="F1041" s="9">
        <f t="shared" si="34"/>
        <v>0</v>
      </c>
      <c r="G1041" s="13"/>
      <c r="H1041" s="14" t="str">
        <f>HYPERLINK("https://pulti.ua/dvb-t2-resivery/pult-dlja-mdi-dbr-501")</f>
        <v>https://pulti.ua/dvb-t2-resivery/pult-dlja-mdi-dbr-501</v>
      </c>
    </row>
    <row r="1042" spans="1:8" s="18" customFormat="1" ht="15" customHeight="1">
      <c r="A1042" s="39">
        <v>4110</v>
      </c>
      <c r="B1042" s="26" t="s">
        <v>969</v>
      </c>
      <c r="C1042" s="13" t="s">
        <v>909</v>
      </c>
      <c r="D1042" s="14"/>
      <c r="E1042" s="9">
        <v>78.8</v>
      </c>
      <c r="F1042" s="9">
        <f t="shared" si="34"/>
        <v>0</v>
      </c>
      <c r="G1042" s="13"/>
      <c r="H1042" s="14" t="str">
        <f>HYPERLINK("https://pulti.ua/dvb-t2-resivery/pult-dlya-mdi-dbr-701")</f>
        <v>https://pulti.ua/dvb-t2-resivery/pult-dlya-mdi-dbr-701</v>
      </c>
    </row>
    <row r="1043" spans="1:8" s="18" customFormat="1" ht="15" customHeight="1">
      <c r="A1043" s="11">
        <v>3985</v>
      </c>
      <c r="B1043" s="12" t="s">
        <v>1401</v>
      </c>
      <c r="C1043" s="13" t="s">
        <v>905</v>
      </c>
      <c r="D1043" s="14"/>
      <c r="E1043" s="9">
        <v>52.5</v>
      </c>
      <c r="F1043" s="9">
        <f t="shared" si="34"/>
        <v>0</v>
      </c>
      <c r="G1043" s="13"/>
      <c r="H1043" s="14" t="str">
        <f>HYPERLINK("https://pulti.ua/tyunera/pult-dlja-openbox-7-series-x-730")</f>
        <v>https://pulti.ua/tyunera/pult-dlja-openbox-7-series-x-730</v>
      </c>
    </row>
    <row r="1044" spans="1:8" s="18" customFormat="1" ht="15" customHeight="1">
      <c r="A1044" s="39">
        <v>2531</v>
      </c>
      <c r="B1044" s="26" t="s">
        <v>970</v>
      </c>
      <c r="C1044" s="13" t="s">
        <v>905</v>
      </c>
      <c r="D1044" s="14"/>
      <c r="E1044" s="9">
        <v>60</v>
      </c>
      <c r="F1044" s="9">
        <f t="shared" si="34"/>
        <v>0</v>
      </c>
      <c r="G1044" s="13"/>
      <c r="H1044" s="14" t="str">
        <f>HYPERLINK("https://pulti.ua/tyunera/pult-dlja-openbox-x-730-7series")</f>
        <v>https://pulti.ua/tyunera/pult-dlja-openbox-x-730-7series</v>
      </c>
    </row>
    <row r="1045" spans="1:8" s="18" customFormat="1" ht="15" customHeight="1">
      <c r="A1045" s="39">
        <v>4350</v>
      </c>
      <c r="B1045" s="26" t="s">
        <v>971</v>
      </c>
      <c r="C1045" s="13" t="s">
        <v>905</v>
      </c>
      <c r="D1045" s="14"/>
      <c r="E1045" s="9">
        <v>180</v>
      </c>
      <c r="F1045" s="9">
        <f t="shared" si="34"/>
        <v>0</v>
      </c>
      <c r="G1045" s="13"/>
      <c r="H1045" s="14" t="str">
        <f>HYPERLINK("https://pulti.ua/tyunera/pult-dlya-openbox-as2-hd")</f>
        <v>https://pulti.ua/tyunera/pult-dlya-openbox-as2-hd</v>
      </c>
    </row>
    <row r="1046" spans="1:8" s="18" customFormat="1" ht="15" customHeight="1">
      <c r="A1046" s="11">
        <v>2527</v>
      </c>
      <c r="B1046" s="12" t="s">
        <v>1402</v>
      </c>
      <c r="C1046" s="13" t="s">
        <v>905</v>
      </c>
      <c r="D1046" s="14"/>
      <c r="E1046" s="9">
        <v>54.4</v>
      </c>
      <c r="F1046" s="9">
        <f t="shared" si="34"/>
        <v>0</v>
      </c>
      <c r="G1046" s="13"/>
      <c r="H1046" s="14" t="str">
        <f>HYPERLINK("https://pulti.ua/tyunera/pult-dlja-openbox-f-500-noc")</f>
        <v>https://pulti.ua/tyunera/pult-dlja-openbox-f-500-noc</v>
      </c>
    </row>
    <row r="1047" spans="1:8" s="18" customFormat="1" ht="15" customHeight="1">
      <c r="A1047" s="39">
        <v>2484</v>
      </c>
      <c r="B1047" s="26" t="s">
        <v>972</v>
      </c>
      <c r="C1047" s="13" t="s">
        <v>905</v>
      </c>
      <c r="D1047" s="14"/>
      <c r="E1047" s="9">
        <v>86.3</v>
      </c>
      <c r="F1047" s="9">
        <f t="shared" si="34"/>
        <v>0</v>
      </c>
      <c r="G1047" s="13"/>
      <c r="H1047" s="14" t="str">
        <f>HYPERLINK("https://pulti.ua/tyunera/pult-dlja-openbox-f-500-x-540-kod-40bf")</f>
        <v>https://pulti.ua/tyunera/pult-dlja-openbox-f-500-x-540-kod-40bf</v>
      </c>
    </row>
    <row r="1048" spans="1:8" s="18" customFormat="1" ht="15" customHeight="1">
      <c r="A1048" s="11">
        <v>2528</v>
      </c>
      <c r="B1048" s="12" t="s">
        <v>973</v>
      </c>
      <c r="C1048" s="13" t="s">
        <v>905</v>
      </c>
      <c r="D1048" s="14"/>
      <c r="E1048" s="9">
        <v>65.6</v>
      </c>
      <c r="F1048" s="9">
        <f t="shared" si="34"/>
        <v>0</v>
      </c>
      <c r="G1048" s="13"/>
      <c r="H1048" s="14" t="str">
        <f>HYPERLINK("https://pulti.ua/tyunera/pult-dlja-open-box-s1")</f>
        <v>https://pulti.ua/tyunera/pult-dlja-open-box-s1</v>
      </c>
    </row>
    <row r="1049" spans="1:8" s="18" customFormat="1" ht="15" customHeight="1">
      <c r="A1049" s="39">
        <v>3682</v>
      </c>
      <c r="B1049" s="26" t="s">
        <v>1403</v>
      </c>
      <c r="C1049" s="13" t="s">
        <v>905</v>
      </c>
      <c r="D1049" s="14"/>
      <c r="E1049" s="9">
        <v>82.5</v>
      </c>
      <c r="F1049" s="9">
        <f t="shared" si="34"/>
        <v>0</v>
      </c>
      <c r="G1049" s="13"/>
      <c r="H1049" s="14" t="str">
        <f>HYPERLINK("https://pulti.ua/tyunera/pult-dlja-openbox-s4-ic")</f>
        <v>https://pulti.ua/tyunera/pult-dlja-openbox-s4-ic</v>
      </c>
    </row>
    <row r="1050" spans="1:8" s="18" customFormat="1" ht="15" customHeight="1">
      <c r="A1050" s="11">
        <v>2952</v>
      </c>
      <c r="B1050" s="12" t="s">
        <v>974</v>
      </c>
      <c r="C1050" s="13" t="s">
        <v>905</v>
      </c>
      <c r="D1050" s="14"/>
      <c r="E1050" s="9">
        <v>97.5</v>
      </c>
      <c r="F1050" s="9">
        <f t="shared" si="34"/>
        <v>0</v>
      </c>
      <c r="G1050" s="13"/>
      <c r="H1050" s="14" t="str">
        <f>HYPERLINK("https://pulti.ua/tyunera/pult-dlja-openbox-s5")</f>
        <v>https://pulti.ua/tyunera/pult-dlja-openbox-s5</v>
      </c>
    </row>
    <row r="1051" spans="1:8" s="18" customFormat="1" ht="15" customHeight="1">
      <c r="A1051" s="39">
        <v>3679</v>
      </c>
      <c r="B1051" s="26" t="s">
        <v>975</v>
      </c>
      <c r="C1051" s="13" t="s">
        <v>909</v>
      </c>
      <c r="D1051" s="14"/>
      <c r="E1051" s="9">
        <v>56.3</v>
      </c>
      <c r="F1051" s="9">
        <f t="shared" si="34"/>
        <v>0</v>
      </c>
      <c r="G1051" s="13"/>
      <c r="H1051" s="14" t="str">
        <f>HYPERLINK("https://pulti.ua/dvb-t2-resivery/pult-dlja-openbox-t2-02-hd-ic")</f>
        <v>https://pulti.ua/dvb-t2-resivery/pult-dlja-openbox-t2-02-hd-ic</v>
      </c>
    </row>
    <row r="1052" spans="1:8" s="18" customFormat="1" ht="15" customHeight="1">
      <c r="A1052" s="11">
        <v>2530</v>
      </c>
      <c r="B1052" s="12" t="s">
        <v>976</v>
      </c>
      <c r="C1052" s="13" t="s">
        <v>905</v>
      </c>
      <c r="D1052" s="14"/>
      <c r="E1052" s="9">
        <v>58.1</v>
      </c>
      <c r="F1052" s="9">
        <f t="shared" si="34"/>
        <v>0</v>
      </c>
      <c r="G1052" s="13"/>
      <c r="H1052" s="14" t="str">
        <f>HYPERLINK("https://pulti.ua/tyunera/pult-dlja-openbox-x-620")</f>
        <v>https://pulti.ua/tyunera/pult-dlja-openbox-x-620</v>
      </c>
    </row>
    <row r="1053" spans="1:8" s="18" customFormat="1" ht="15" customHeight="1">
      <c r="A1053" s="11">
        <v>2532</v>
      </c>
      <c r="B1053" s="12" t="s">
        <v>977</v>
      </c>
      <c r="C1053" s="13" t="s">
        <v>905</v>
      </c>
      <c r="D1053" s="14"/>
      <c r="E1053" s="9">
        <v>48.8</v>
      </c>
      <c r="F1053" s="9">
        <f t="shared" si="34"/>
        <v>0</v>
      </c>
      <c r="G1053" s="13"/>
      <c r="H1053" s="14" t="str">
        <f>HYPERLINK("https://pulti.ua/tyunera/pult-dlja-openbox-x-800")</f>
        <v>https://pulti.ua/tyunera/pult-dlja-openbox-x-800</v>
      </c>
    </row>
    <row r="1054" spans="1:8" s="18" customFormat="1" ht="15" customHeight="1">
      <c r="A1054" s="11">
        <v>2534</v>
      </c>
      <c r="B1054" s="12" t="s">
        <v>1404</v>
      </c>
      <c r="C1054" s="13" t="s">
        <v>905</v>
      </c>
      <c r="D1054" s="14"/>
      <c r="E1054" s="9">
        <v>56.3</v>
      </c>
      <c r="F1054" s="9">
        <f t="shared" si="34"/>
        <v>0</v>
      </c>
      <c r="G1054" s="13"/>
      <c r="H1054" s="14" t="str">
        <f>HYPERLINK("https://pulti.ua/tyunera/pult-dlya-opticum-rc-7300l")</f>
        <v>https://pulti.ua/tyunera/pult-dlya-opticum-rc-7300l</v>
      </c>
    </row>
    <row r="1055" spans="1:8" s="18" customFormat="1" ht="15" customHeight="1">
      <c r="A1055" s="39">
        <v>3853</v>
      </c>
      <c r="B1055" s="26" t="s">
        <v>978</v>
      </c>
      <c r="C1055" s="13" t="s">
        <v>909</v>
      </c>
      <c r="D1055" s="14"/>
      <c r="E1055" s="9">
        <v>112.5</v>
      </c>
      <c r="F1055" s="9">
        <f t="shared" si="34"/>
        <v>0</v>
      </c>
      <c r="G1055" s="13"/>
      <c r="H1055" s="14" t="str">
        <f>HYPERLINK("https://pulti.ua/dvb-t2-resivery/pult-dlja-oriel-pdu-10")</f>
        <v>https://pulti.ua/dvb-t2-resivery/pult-dlja-oriel-pdu-10</v>
      </c>
    </row>
    <row r="1056" spans="1:8" s="18" customFormat="1" ht="15" customHeight="1">
      <c r="A1056" s="39">
        <v>3854</v>
      </c>
      <c r="B1056" s="26" t="s">
        <v>979</v>
      </c>
      <c r="C1056" s="13" t="s">
        <v>909</v>
      </c>
      <c r="D1056" s="14"/>
      <c r="E1056" s="9">
        <v>86.3</v>
      </c>
      <c r="F1056" s="9">
        <f t="shared" si="34"/>
        <v>0</v>
      </c>
      <c r="G1056" s="13"/>
      <c r="H1056" s="14" t="str">
        <f>HYPERLINK("https://pulti.ua/dvb-t2-resivery/pult-dlja-oriel-pdu-6")</f>
        <v>https://pulti.ua/dvb-t2-resivery/pult-dlja-oriel-pdu-6</v>
      </c>
    </row>
    <row r="1057" spans="1:8" s="18" customFormat="1" ht="15" customHeight="1">
      <c r="A1057" s="11">
        <v>3265</v>
      </c>
      <c r="B1057" s="12" t="s">
        <v>980</v>
      </c>
      <c r="C1057" s="13" t="s">
        <v>905</v>
      </c>
      <c r="D1057" s="14"/>
      <c r="E1057" s="9">
        <v>63.8</v>
      </c>
      <c r="F1057" s="9">
        <f t="shared" si="34"/>
        <v>0</v>
      </c>
      <c r="G1057" s="13"/>
      <c r="H1057" s="14" t="str">
        <f>HYPERLINK("https://pulti.ua/tyunera/pult-dlja-orton-hd-x405p")</f>
        <v>https://pulti.ua/tyunera/pult-dlja-orton-hd-x405p</v>
      </c>
    </row>
    <row r="1058" spans="1:8" s="18" customFormat="1" ht="15" customHeight="1">
      <c r="A1058" s="11">
        <v>2535</v>
      </c>
      <c r="B1058" s="12" t="s">
        <v>1405</v>
      </c>
      <c r="C1058" s="13" t="s">
        <v>905</v>
      </c>
      <c r="D1058" s="14"/>
      <c r="E1058" s="9">
        <v>50.6</v>
      </c>
      <c r="F1058" s="9">
        <f t="shared" si="34"/>
        <v>0</v>
      </c>
      <c r="G1058" s="13"/>
      <c r="H1058" s="14" t="str">
        <f>HYPERLINK("https://pulti.ua/tyunera/pult-dlja-orton-4060cx")</f>
        <v>https://pulti.ua/tyunera/pult-dlja-orton-4060cx</v>
      </c>
    </row>
    <row r="1059" spans="1:8" s="18" customFormat="1" ht="15" customHeight="1">
      <c r="A1059" s="11">
        <v>2537</v>
      </c>
      <c r="B1059" s="12" t="s">
        <v>981</v>
      </c>
      <c r="C1059" s="13" t="s">
        <v>905</v>
      </c>
      <c r="D1059" s="14"/>
      <c r="E1059" s="9">
        <v>30</v>
      </c>
      <c r="F1059" s="9">
        <f t="shared" si="34"/>
        <v>0</v>
      </c>
      <c r="G1059" s="13"/>
      <c r="H1059" s="14" t="str">
        <f>HYPERLINK("https://pulti.ua/tyunera/pult-dlja-orton-x80-hdmi-noc")</f>
        <v>https://pulti.ua/tyunera/pult-dlja-orton-x80-hdmi-noc</v>
      </c>
    </row>
    <row r="1060" spans="1:8" s="18" customFormat="1" ht="15" customHeight="1">
      <c r="A1060" s="39">
        <v>3816</v>
      </c>
      <c r="B1060" s="26" t="s">
        <v>1406</v>
      </c>
      <c r="C1060" s="13" t="s">
        <v>905</v>
      </c>
      <c r="D1060" s="14"/>
      <c r="E1060" s="9">
        <v>71.3</v>
      </c>
      <c r="F1060" s="9">
        <f t="shared" si="34"/>
        <v>0</v>
      </c>
      <c r="G1060" s="13"/>
      <c r="H1060" s="14" t="str">
        <f>HYPERLINK("https://pulti.ua/tyunera/pult-dlja-orton-x80-hdmi-kak-original")</f>
        <v>https://pulti.ua/tyunera/pult-dlja-orton-x80-hdmi-kak-original</v>
      </c>
    </row>
    <row r="1061" spans="1:8" s="18" customFormat="1" ht="15" customHeight="1">
      <c r="A1061" s="11">
        <v>4257</v>
      </c>
      <c r="B1061" s="12" t="s">
        <v>982</v>
      </c>
      <c r="C1061" s="13" t="s">
        <v>905</v>
      </c>
      <c r="D1061" s="14"/>
      <c r="E1061" s="9">
        <v>54.4</v>
      </c>
      <c r="F1061" s="9">
        <f t="shared" si="34"/>
        <v>0</v>
      </c>
      <c r="G1061" s="13"/>
      <c r="H1061" s="14" t="str">
        <f>HYPERLINK("https://pulti.ua/mediapleery/pult-dlya-ozonehd-4k-pro")</f>
        <v>https://pulti.ua/mediapleery/pult-dlya-ozonehd-4k-pro</v>
      </c>
    </row>
    <row r="1062" spans="1:8" s="18" customFormat="1" ht="15" customHeight="1">
      <c r="A1062" s="11">
        <v>4187</v>
      </c>
      <c r="B1062" s="12" t="s">
        <v>983</v>
      </c>
      <c r="C1062" s="13" t="s">
        <v>909</v>
      </c>
      <c r="D1062" s="14"/>
      <c r="E1062" s="9">
        <v>46.9</v>
      </c>
      <c r="F1062" s="9">
        <f t="shared" si="34"/>
        <v>0</v>
      </c>
      <c r="G1062" s="13"/>
      <c r="H1062" s="14" t="str">
        <f>HYPERLINK("https://pulti.ua/dvb-t2-resivery/pult-dlya-pantesat-hd-2258-t2")</f>
        <v>https://pulti.ua/dvb-t2-resivery/pult-dlya-pantesat-hd-2258-t2</v>
      </c>
    </row>
    <row r="1063" spans="1:8" s="18" customFormat="1" ht="15" customHeight="1">
      <c r="A1063" s="11">
        <v>4374</v>
      </c>
      <c r="B1063" s="12" t="s">
        <v>1407</v>
      </c>
      <c r="C1063" s="13" t="s">
        <v>909</v>
      </c>
      <c r="D1063" s="14"/>
      <c r="E1063" s="9">
        <v>46.9</v>
      </c>
      <c r="F1063" s="9">
        <f t="shared" si="34"/>
        <v>0</v>
      </c>
      <c r="G1063" s="13"/>
      <c r="H1063" s="14" t="str">
        <f>HYPERLINK("https://pulti.ua/dvb-t2-resivery/pult-dlya-pantesat-hd-3800-t2")</f>
        <v>https://pulti.ua/dvb-t2-resivery/pult-dlya-pantesat-hd-3800-t2</v>
      </c>
    </row>
    <row r="1064" spans="1:8" s="18" customFormat="1" ht="15" customHeight="1">
      <c r="A1064" s="11">
        <v>3999</v>
      </c>
      <c r="B1064" s="12" t="s">
        <v>984</v>
      </c>
      <c r="C1064" s="13" t="s">
        <v>909</v>
      </c>
      <c r="D1064" s="14"/>
      <c r="E1064" s="9">
        <v>46.9</v>
      </c>
      <c r="F1064" s="9">
        <f t="shared" si="34"/>
        <v>0</v>
      </c>
      <c r="G1064" s="13"/>
      <c r="H1064" s="14" t="str">
        <f>HYPERLINK("https://pulti.ua/dvb-t2-resivery/pult-dlja-prowest-pwr-2017")</f>
        <v>https://pulti.ua/dvb-t2-resivery/pult-dlja-prowest-pwr-2017</v>
      </c>
    </row>
    <row r="1065" spans="1:8" s="18" customFormat="1" ht="15" customHeight="1">
      <c r="A1065" s="11">
        <v>4188</v>
      </c>
      <c r="B1065" s="12" t="s">
        <v>985</v>
      </c>
      <c r="C1065" s="13" t="s">
        <v>905</v>
      </c>
      <c r="D1065" s="14"/>
      <c r="E1065" s="9">
        <v>45</v>
      </c>
      <c r="F1065" s="9">
        <f t="shared" si="34"/>
        <v>0</v>
      </c>
      <c r="G1065" s="13"/>
      <c r="H1065" s="14" t="str">
        <f>HYPERLINK("https://pulti.ua/tyunera/pult-dlya-q-sat-q-07")</f>
        <v>https://pulti.ua/tyunera/pult-dlya-q-sat-q-07</v>
      </c>
    </row>
    <row r="1066" spans="1:8" s="18" customFormat="1" ht="15" customHeight="1">
      <c r="A1066" s="39">
        <v>4553</v>
      </c>
      <c r="B1066" s="26" t="s">
        <v>1408</v>
      </c>
      <c r="C1066" s="13" t="s">
        <v>909</v>
      </c>
      <c r="D1066" s="14"/>
      <c r="E1066" s="9">
        <v>56.3</v>
      </c>
      <c r="F1066" s="9">
        <f t="shared" si="34"/>
        <v>0</v>
      </c>
      <c r="G1066" s="13"/>
      <c r="H1066" s="14" t="str">
        <f>HYPERLINK("https://pulti.ua/dvb-t2-resivery/pult-dlya-q-sat-q-150")</f>
        <v>https://pulti.ua/dvb-t2-resivery/pult-dlya-q-sat-q-150</v>
      </c>
    </row>
    <row r="1067" spans="1:8" s="18" customFormat="1" ht="15" customHeight="1">
      <c r="A1067" s="11">
        <v>4794</v>
      </c>
      <c r="B1067" s="12" t="s">
        <v>986</v>
      </c>
      <c r="C1067" s="13" t="s">
        <v>905</v>
      </c>
      <c r="D1067" s="14"/>
      <c r="E1067" s="9">
        <v>41.3</v>
      </c>
      <c r="F1067" s="9">
        <f t="shared" si="34"/>
        <v>0</v>
      </c>
      <c r="G1067" s="13"/>
      <c r="H1067" s="14" t="str">
        <f>HYPERLINK("https://pulti.ua/uk/tyunera/pult-dlya-sat-integral-s1226")</f>
        <v>https://pulti.ua/uk/tyunera/pult-dlya-sat-integral-s1226</v>
      </c>
    </row>
    <row r="1068" spans="1:8" s="18" customFormat="1" ht="15" customHeight="1">
      <c r="A1068" s="11">
        <v>4123</v>
      </c>
      <c r="B1068" s="12" t="s">
        <v>987</v>
      </c>
      <c r="C1068" s="13" t="s">
        <v>905</v>
      </c>
      <c r="D1068" s="14"/>
      <c r="E1068" s="9">
        <v>50.6</v>
      </c>
      <c r="F1068" s="9">
        <f t="shared" si="34"/>
        <v>0</v>
      </c>
      <c r="G1068" s="13"/>
      <c r="H1068" s="14" t="str">
        <f>HYPERLINK("https://pulti.ua/tyunera/pult-dlya-q-sat-q-45")</f>
        <v>https://pulti.ua/tyunera/pult-dlya-q-sat-q-45</v>
      </c>
    </row>
    <row r="1069" spans="1:8" s="18" customFormat="1" ht="15" customHeight="1">
      <c r="A1069" s="39">
        <v>4402</v>
      </c>
      <c r="B1069" s="26" t="s">
        <v>988</v>
      </c>
      <c r="C1069" s="13" t="s">
        <v>965</v>
      </c>
      <c r="D1069" s="14"/>
      <c r="E1069" s="9">
        <v>88.1</v>
      </c>
      <c r="F1069" s="9">
        <f t="shared" si="34"/>
        <v>0</v>
      </c>
      <c r="G1069" s="13"/>
      <c r="H1069" s="14" t="str">
        <f>HYPERLINK("https://pulti.ua/mediapleery/pult-dlya-redbox-atlant-telekom-mini")</f>
        <v>https://pulti.ua/mediapleery/pult-dlya-redbox-atlant-telekom-mini</v>
      </c>
    </row>
    <row r="1070" spans="1:8" s="18" customFormat="1" ht="15" customHeight="1">
      <c r="A1070" s="39">
        <v>3787</v>
      </c>
      <c r="B1070" s="26" t="s">
        <v>1409</v>
      </c>
      <c r="C1070" s="13" t="s">
        <v>909</v>
      </c>
      <c r="D1070" s="14"/>
      <c r="E1070" s="9">
        <v>86.3</v>
      </c>
      <c r="F1070" s="9">
        <f t="shared" si="34"/>
        <v>0</v>
      </c>
      <c r="G1070" s="13"/>
      <c r="H1070" s="14" t="str">
        <f>HYPERLINK("https://pulti.ua/dvb-t2-resivery/pult-dlja-rexant-rx-521-ic")</f>
        <v>https://pulti.ua/dvb-t2-resivery/pult-dlja-rexant-rx-521-ic</v>
      </c>
    </row>
    <row r="1071" spans="1:8" s="18" customFormat="1" ht="15" customHeight="1">
      <c r="A1071" s="39">
        <v>4352</v>
      </c>
      <c r="B1071" s="26" t="s">
        <v>1410</v>
      </c>
      <c r="C1071" s="13" t="s">
        <v>909</v>
      </c>
      <c r="D1071" s="14"/>
      <c r="E1071" s="9">
        <v>67.5</v>
      </c>
      <c r="F1071" s="9">
        <f t="shared" si="34"/>
        <v>0</v>
      </c>
      <c r="G1071" s="13"/>
      <c r="H1071" s="14" t="str">
        <f>HYPERLINK("https://pulti.ua/dvb-t2-resivery/pult-dlya-rolsen-rdb-525")</f>
        <v>https://pulti.ua/dvb-t2-resivery/pult-dlya-rolsen-rdb-525</v>
      </c>
    </row>
    <row r="1072" spans="1:8" s="18" customFormat="1" ht="15" customHeight="1">
      <c r="A1072" s="11">
        <v>4286</v>
      </c>
      <c r="B1072" s="12" t="s">
        <v>989</v>
      </c>
      <c r="C1072" s="13" t="s">
        <v>909</v>
      </c>
      <c r="D1072" s="14"/>
      <c r="E1072" s="9">
        <v>63.8</v>
      </c>
      <c r="F1072" s="9">
        <f t="shared" si="34"/>
        <v>0</v>
      </c>
      <c r="G1072" s="13"/>
      <c r="H1072" s="14" t="str">
        <f>HYPERLINK("https://pulti.ua/dvb-t2-resivery/pult-dlya-romsat-rs-300")</f>
        <v>https://pulti.ua/dvb-t2-resivery/pult-dlya-romsat-rs-300</v>
      </c>
    </row>
    <row r="1073" spans="1:8" s="18" customFormat="1" ht="15" customHeight="1">
      <c r="A1073" s="39">
        <v>3407</v>
      </c>
      <c r="B1073" s="26" t="s">
        <v>990</v>
      </c>
      <c r="C1073" s="13" t="s">
        <v>909</v>
      </c>
      <c r="D1073" s="14"/>
      <c r="E1073" s="9">
        <v>68.3</v>
      </c>
      <c r="F1073" s="9">
        <f t="shared" si="34"/>
        <v>0</v>
      </c>
      <c r="G1073" s="13"/>
      <c r="H1073" s="14" t="str">
        <f>HYPERLINK("https://pulti.ua/dvb-t2-resivery/pult-dlja-romsat-rs-300")</f>
        <v>https://pulti.ua/dvb-t2-resivery/pult-dlja-romsat-rs-300</v>
      </c>
    </row>
    <row r="1074" spans="1:8" s="18" customFormat="1" ht="15" customHeight="1">
      <c r="A1074" s="11">
        <v>4140</v>
      </c>
      <c r="B1074" s="12" t="s">
        <v>991</v>
      </c>
      <c r="C1074" s="13" t="s">
        <v>909</v>
      </c>
      <c r="D1074" s="14"/>
      <c r="E1074" s="9">
        <v>43.9</v>
      </c>
      <c r="F1074" s="9">
        <f t="shared" si="34"/>
        <v>0</v>
      </c>
      <c r="G1074" s="13"/>
      <c r="H1074" s="14" t="str">
        <f>HYPERLINK("https://pulti.ua/dvb-t2-resivery/pult-dlya-romsat-t2020")</f>
        <v>https://pulti.ua/dvb-t2-resivery/pult-dlya-romsat-t2020</v>
      </c>
    </row>
    <row r="1075" spans="1:8" s="18" customFormat="1" ht="15" customHeight="1">
      <c r="A1075" s="39">
        <v>3973</v>
      </c>
      <c r="B1075" s="26" t="s">
        <v>992</v>
      </c>
      <c r="C1075" s="13" t="s">
        <v>909</v>
      </c>
      <c r="D1075" s="14"/>
      <c r="E1075" s="9">
        <v>46.9</v>
      </c>
      <c r="F1075" s="9">
        <f t="shared" si="34"/>
        <v>0</v>
      </c>
      <c r="G1075" s="13"/>
      <c r="H1075" s="14" t="str">
        <f>HYPERLINK("https://pulti.ua/dvb-t2-resivery/pult-dlja-romsat-t2020")</f>
        <v>https://pulti.ua/dvb-t2-resivery/pult-dlja-romsat-t2020</v>
      </c>
    </row>
    <row r="1076" spans="1:8" s="18" customFormat="1" ht="15" customHeight="1">
      <c r="A1076" s="11">
        <v>3990</v>
      </c>
      <c r="B1076" s="12" t="s">
        <v>1411</v>
      </c>
      <c r="C1076" s="13" t="s">
        <v>909</v>
      </c>
      <c r="D1076" s="14"/>
      <c r="E1076" s="9">
        <v>46.9</v>
      </c>
      <c r="F1076" s="9">
        <f t="shared" si="34"/>
        <v>0</v>
      </c>
      <c r="G1076" s="13"/>
      <c r="H1076" s="14" t="str">
        <f>HYPERLINK("https://pulti.ua/dvb-t2-resivery/pult-dlja-romsat-t-2050")</f>
        <v>https://pulti.ua/dvb-t2-resivery/pult-dlja-romsat-t-2050</v>
      </c>
    </row>
    <row r="1077" spans="1:8" s="18" customFormat="1" ht="15" customHeight="1">
      <c r="A1077" s="39">
        <v>3814</v>
      </c>
      <c r="B1077" s="26" t="s">
        <v>993</v>
      </c>
      <c r="C1077" s="13" t="s">
        <v>909</v>
      </c>
      <c r="D1077" s="15" t="s">
        <v>1314</v>
      </c>
      <c r="E1077" s="9">
        <v>48.8</v>
      </c>
      <c r="F1077" s="9"/>
      <c r="G1077" s="13"/>
      <c r="H1077" s="14" t="str">
        <f>HYPERLINK("https://pulti.ua/dvb-t2-resivery/pult-dlja-romsat-t2050")</f>
        <v>https://pulti.ua/dvb-t2-resivery/pult-dlja-romsat-t2050</v>
      </c>
    </row>
    <row r="1078" spans="1:8" s="18" customFormat="1" ht="15" customHeight="1">
      <c r="A1078" s="11">
        <v>4360</v>
      </c>
      <c r="B1078" s="12" t="s">
        <v>1412</v>
      </c>
      <c r="C1078" s="13" t="s">
        <v>909</v>
      </c>
      <c r="D1078" s="14"/>
      <c r="E1078" s="9">
        <v>46.9</v>
      </c>
      <c r="F1078" s="9">
        <f aca="true" t="shared" si="35" ref="F1078:F1104">D1078*E1078</f>
        <v>0</v>
      </c>
      <c r="G1078" s="13"/>
      <c r="H1078" s="14" t="str">
        <f>HYPERLINK("https://pulti.ua/dvb-t2-resivery/pult-dlya-romsat-t8005hd")</f>
        <v>https://pulti.ua/dvb-t2-resivery/pult-dlya-romsat-t8005hd</v>
      </c>
    </row>
    <row r="1079" spans="1:8" s="18" customFormat="1" ht="15" customHeight="1">
      <c r="A1079" s="39">
        <v>4294</v>
      </c>
      <c r="B1079" s="26" t="s">
        <v>1413</v>
      </c>
      <c r="C1079" s="13" t="s">
        <v>909</v>
      </c>
      <c r="D1079" s="14"/>
      <c r="E1079" s="9">
        <v>45.8</v>
      </c>
      <c r="F1079" s="9">
        <f t="shared" si="35"/>
        <v>0</v>
      </c>
      <c r="G1079" s="13"/>
      <c r="H1079" s="14" t="str">
        <f>HYPERLINK("https://pulti.ua/dvb-t2-resivery/pult-dlya-romsat-t8020hd")</f>
        <v>https://pulti.ua/dvb-t2-resivery/pult-dlya-romsat-t8020hd</v>
      </c>
    </row>
    <row r="1080" spans="1:8" s="18" customFormat="1" ht="15" customHeight="1">
      <c r="A1080" s="11">
        <v>4536</v>
      </c>
      <c r="B1080" s="12" t="s">
        <v>994</v>
      </c>
      <c r="C1080" s="13" t="s">
        <v>909</v>
      </c>
      <c r="D1080" s="14"/>
      <c r="E1080" s="9">
        <v>46.9</v>
      </c>
      <c r="F1080" s="9">
        <f t="shared" si="35"/>
        <v>0</v>
      </c>
      <c r="G1080" s="13"/>
      <c r="H1080" s="14" t="str">
        <f>HYPERLINK("https://pulti.ua/dvb-t2-resivery/pult-dlya-romsat-tr-9110hd")</f>
        <v>https://pulti.ua/dvb-t2-resivery/pult-dlya-romsat-tr-9110hd</v>
      </c>
    </row>
    <row r="1081" spans="1:8" s="18" customFormat="1" ht="15" customHeight="1">
      <c r="A1081" s="11">
        <v>4537</v>
      </c>
      <c r="B1081" s="12" t="s">
        <v>995</v>
      </c>
      <c r="C1081" s="13" t="s">
        <v>905</v>
      </c>
      <c r="D1081" s="14"/>
      <c r="E1081" s="9">
        <v>45</v>
      </c>
      <c r="F1081" s="9">
        <f t="shared" si="35"/>
        <v>0</v>
      </c>
      <c r="G1081" s="13"/>
      <c r="H1081" s="14" t="str">
        <f>HYPERLINK("https://pulti.ua/dvb-t2-resivery/pult-dlya-s-star-mini007-t3-t5")</f>
        <v>https://pulti.ua/dvb-t2-resivery/pult-dlya-s-star-mini007-t3-t5</v>
      </c>
    </row>
    <row r="1082" spans="1:8" s="18" customFormat="1" ht="15" customHeight="1">
      <c r="A1082" s="39">
        <v>3405</v>
      </c>
      <c r="B1082" s="26" t="s">
        <v>996</v>
      </c>
      <c r="C1082" s="13" t="s">
        <v>905</v>
      </c>
      <c r="D1082" s="14"/>
      <c r="E1082" s="9">
        <v>93.8</v>
      </c>
      <c r="F1082" s="9">
        <f t="shared" si="35"/>
        <v>0</v>
      </c>
      <c r="G1082" s="13"/>
      <c r="H1082" s="14" t="str">
        <f>HYPERLINK("https://pulti.ua/tyunera/pult-dlja-sagemcom-dsi87-hd")</f>
        <v>https://pulti.ua/tyunera/pult-dlja-sagemcom-dsi87-hd</v>
      </c>
    </row>
    <row r="1083" spans="1:8" s="18" customFormat="1" ht="15" customHeight="1">
      <c r="A1083" s="39">
        <v>3579</v>
      </c>
      <c r="B1083" s="26" t="s">
        <v>1414</v>
      </c>
      <c r="C1083" s="13" t="s">
        <v>905</v>
      </c>
      <c r="D1083" s="14"/>
      <c r="E1083" s="9">
        <v>161.3</v>
      </c>
      <c r="F1083" s="9">
        <f t="shared" si="35"/>
        <v>0</v>
      </c>
      <c r="G1083" s="13"/>
      <c r="H1083" s="14" t="str">
        <f>HYPERLINK("https://pulti.ua/tyunera/pult-dlja-sagemcom-dsi87-1-hd")</f>
        <v>https://pulti.ua/tyunera/pult-dlja-sagemcom-dsi87-1-hd</v>
      </c>
    </row>
    <row r="1084" spans="1:8" s="18" customFormat="1" ht="15" customHeight="1">
      <c r="A1084" s="39">
        <v>3408</v>
      </c>
      <c r="B1084" s="26" t="s">
        <v>997</v>
      </c>
      <c r="C1084" s="13" t="s">
        <v>905</v>
      </c>
      <c r="D1084" s="14"/>
      <c r="E1084" s="9">
        <v>78.8</v>
      </c>
      <c r="F1084" s="9">
        <f t="shared" si="35"/>
        <v>0</v>
      </c>
      <c r="G1084" s="13"/>
      <c r="H1084" s="14" t="str">
        <f>HYPERLINK("https://pulti.ua/tyunera/pult-dlja-samsung-gl59-00140a-viasat-smt-s5320")</f>
        <v>https://pulti.ua/tyunera/pult-dlja-samsung-gl59-00140a-viasat-smt-s5320</v>
      </c>
    </row>
    <row r="1085" spans="1:8" s="18" customFormat="1" ht="15" customHeight="1">
      <c r="A1085" s="11">
        <v>2540</v>
      </c>
      <c r="B1085" s="12" t="s">
        <v>998</v>
      </c>
      <c r="C1085" s="13" t="s">
        <v>905</v>
      </c>
      <c r="D1085" s="14"/>
      <c r="E1085" s="9">
        <v>45</v>
      </c>
      <c r="F1085" s="9">
        <f t="shared" si="35"/>
        <v>0</v>
      </c>
      <c r="G1085" s="13"/>
      <c r="H1085" s="14" t="str">
        <f>HYPERLINK("https://pulti.ua/tyunera/pult-dlja-samsung-mf59-00242a")</f>
        <v>https://pulti.ua/tyunera/pult-dlja-samsung-mf59-00242a</v>
      </c>
    </row>
    <row r="1086" spans="1:8" s="18" customFormat="1" ht="15" customHeight="1">
      <c r="A1086" s="11">
        <v>2541</v>
      </c>
      <c r="B1086" s="12" t="s">
        <v>999</v>
      </c>
      <c r="C1086" s="13" t="s">
        <v>905</v>
      </c>
      <c r="D1086" s="14"/>
      <c r="E1086" s="9">
        <v>30</v>
      </c>
      <c r="F1086" s="9">
        <f t="shared" si="35"/>
        <v>0</v>
      </c>
      <c r="G1086" s="13"/>
      <c r="H1086" s="14" t="str">
        <f>HYPERLINK("https://pulti.ua/tyunera/pult-dlja-samsung-rc-9500")</f>
        <v>https://pulti.ua/tyunera/pult-dlja-samsung-rc-9500</v>
      </c>
    </row>
    <row r="1087" spans="1:8" s="18" customFormat="1" ht="15" customHeight="1">
      <c r="A1087" s="39">
        <v>3872</v>
      </c>
      <c r="B1087" s="26" t="s">
        <v>1415</v>
      </c>
      <c r="C1087" s="13" t="s">
        <v>909</v>
      </c>
      <c r="D1087" s="14"/>
      <c r="E1087" s="9">
        <v>54.4</v>
      </c>
      <c r="F1087" s="9">
        <f t="shared" si="35"/>
        <v>0</v>
      </c>
      <c r="G1087" s="13"/>
      <c r="H1087" s="14" t="str">
        <f>HYPERLINK("https://pulti.ua/dvb-t2-resivery/pult-dlja-sat-integral-5050")</f>
        <v>https://pulti.ua/dvb-t2-resivery/pult-dlja-sat-integral-5050</v>
      </c>
    </row>
    <row r="1088" spans="1:8" s="18" customFormat="1" ht="15" customHeight="1">
      <c r="A1088" s="11">
        <v>3991</v>
      </c>
      <c r="B1088" s="12" t="s">
        <v>1416</v>
      </c>
      <c r="C1088" s="13" t="s">
        <v>909</v>
      </c>
      <c r="D1088" s="14"/>
      <c r="E1088" s="9">
        <v>43.9</v>
      </c>
      <c r="F1088" s="9">
        <f t="shared" si="35"/>
        <v>0</v>
      </c>
      <c r="G1088" s="13"/>
      <c r="H1088" s="14" t="str">
        <f>HYPERLINK("https://pulti.ua/dvb-t2-resivery/pult-dlja-sat-integral--5050")</f>
        <v>https://pulti.ua/dvb-t2-resivery/pult-dlja-sat-integral--5050</v>
      </c>
    </row>
    <row r="1089" spans="1:8" s="18" customFormat="1" ht="15" customHeight="1">
      <c r="A1089" s="11">
        <v>4425</v>
      </c>
      <c r="B1089" s="12" t="s">
        <v>1000</v>
      </c>
      <c r="C1089" s="13" t="s">
        <v>909</v>
      </c>
      <c r="D1089" s="14"/>
      <c r="E1089" s="9">
        <v>50.6</v>
      </c>
      <c r="F1089" s="9">
        <f t="shared" si="35"/>
        <v>0</v>
      </c>
      <c r="G1089" s="13"/>
      <c r="H1089" s="14" t="str">
        <f>HYPERLINK("https://pulti.ua/dvb-t2-resivery/pult-dlya-sat-integral-5052-t2")</f>
        <v>https://pulti.ua/dvb-t2-resivery/pult-dlya-sat-integral-5052-t2</v>
      </c>
    </row>
    <row r="1090" spans="1:8" s="18" customFormat="1" ht="15" customHeight="1">
      <c r="A1090" s="11">
        <v>2489</v>
      </c>
      <c r="B1090" s="12" t="s">
        <v>1001</v>
      </c>
      <c r="C1090" s="13" t="s">
        <v>905</v>
      </c>
      <c r="D1090" s="14"/>
      <c r="E1090" s="9">
        <v>54.4</v>
      </c>
      <c r="F1090" s="9">
        <f t="shared" si="35"/>
        <v>0</v>
      </c>
      <c r="G1090" s="13"/>
      <c r="H1090" s="14" t="str">
        <f>HYPERLINK("https://pulti.ua/tyunera/pult-dlja-sat-integral-s-1210hd")</f>
        <v>https://pulti.ua/tyunera/pult-dlja-sat-integral-s-1210hd</v>
      </c>
    </row>
    <row r="1091" spans="1:8" s="18" customFormat="1" ht="15" customHeight="1">
      <c r="A1091" s="11">
        <v>3865</v>
      </c>
      <c r="B1091" s="12" t="s">
        <v>1002</v>
      </c>
      <c r="C1091" s="13" t="s">
        <v>905</v>
      </c>
      <c r="D1091" s="14"/>
      <c r="E1091" s="9">
        <v>43.1</v>
      </c>
      <c r="F1091" s="9">
        <f t="shared" si="35"/>
        <v>0</v>
      </c>
      <c r="G1091" s="13"/>
      <c r="H1091" s="14" t="str">
        <f>HYPERLINK("https://pulti.ua/tyunera/pult-dlja-sat-integral-s-1225-hd-able")</f>
        <v>https://pulti.ua/tyunera/pult-dlja-sat-integral-s-1225-hd-able</v>
      </c>
    </row>
    <row r="1092" spans="1:8" s="18" customFormat="1" ht="15" customHeight="1">
      <c r="A1092" s="11">
        <v>4778</v>
      </c>
      <c r="B1092" s="12" t="s">
        <v>1417</v>
      </c>
      <c r="C1092" s="13" t="s">
        <v>909</v>
      </c>
      <c r="D1092" s="14"/>
      <c r="E1092" s="9">
        <v>48.4</v>
      </c>
      <c r="F1092" s="9">
        <f t="shared" si="35"/>
        <v>0</v>
      </c>
      <c r="G1092" s="13"/>
      <c r="H1092" s="14" t="str">
        <f>HYPERLINK("https://pulti.ua/dvb-t2-resivery/pult-dlya-sat-integral-sp-1219hd")</f>
        <v>https://pulti.ua/dvb-t2-resivery/pult-dlya-sat-integral-sp-1219hd</v>
      </c>
    </row>
    <row r="1093" spans="1:8" s="18" customFormat="1" ht="15" customHeight="1">
      <c r="A1093" s="11">
        <v>2544</v>
      </c>
      <c r="B1093" s="12" t="s">
        <v>1003</v>
      </c>
      <c r="C1093" s="13" t="s">
        <v>905</v>
      </c>
      <c r="D1093" s="14"/>
      <c r="E1093" s="9">
        <v>37.5</v>
      </c>
      <c r="F1093" s="9">
        <f t="shared" si="35"/>
        <v>0</v>
      </c>
      <c r="G1093" s="13"/>
      <c r="H1093" s="14" t="str">
        <f>HYPERLINK("https://pulti.ua/tyunera/pult-dlja-sat-integral-th-7300")</f>
        <v>https://pulti.ua/tyunera/pult-dlja-sat-integral-th-7300</v>
      </c>
    </row>
    <row r="1094" spans="1:8" s="18" customFormat="1" ht="15" customHeight="1">
      <c r="A1094" s="39">
        <v>3866</v>
      </c>
      <c r="B1094" s="26" t="s">
        <v>1004</v>
      </c>
      <c r="C1094" s="13" t="s">
        <v>905</v>
      </c>
      <c r="D1094" s="14"/>
      <c r="E1094" s="9">
        <v>41.3</v>
      </c>
      <c r="F1094" s="9">
        <f t="shared" si="35"/>
        <v>0</v>
      </c>
      <c r="G1094" s="13"/>
      <c r="H1094" s="14" t="str">
        <f>HYPERLINK("https://pulti.ua/tyunera/pult-dlja-satcom-t-110")</f>
        <v>https://pulti.ua/tyunera/pult-dlja-satcom-t-110</v>
      </c>
    </row>
    <row r="1095" spans="1:8" s="18" customFormat="1" ht="15" customHeight="1">
      <c r="A1095" s="39">
        <v>4111</v>
      </c>
      <c r="B1095" s="26" t="s">
        <v>1005</v>
      </c>
      <c r="C1095" s="13" t="s">
        <v>909</v>
      </c>
      <c r="D1095" s="14"/>
      <c r="E1095" s="9">
        <v>101.3</v>
      </c>
      <c r="F1095" s="9">
        <f t="shared" si="35"/>
        <v>0</v>
      </c>
      <c r="G1095" s="13"/>
      <c r="H1095" s="14" t="str">
        <f>HYPERLINK("https://pulti.ua/dvb-t2-resivery/pult-dlya-selenga-t70-hd930")</f>
        <v>https://pulti.ua/dvb-t2-resivery/pult-dlya-selenga-t70-hd930</v>
      </c>
    </row>
    <row r="1096" spans="1:8" s="18" customFormat="1" ht="15" customHeight="1">
      <c r="A1096" s="39">
        <v>3869</v>
      </c>
      <c r="B1096" s="26" t="s">
        <v>1006</v>
      </c>
      <c r="C1096" s="13" t="s">
        <v>905</v>
      </c>
      <c r="D1096" s="14"/>
      <c r="E1096" s="9">
        <v>56.3</v>
      </c>
      <c r="F1096" s="9">
        <f t="shared" si="35"/>
        <v>0</v>
      </c>
      <c r="G1096" s="13"/>
      <c r="H1096" s="14" t="str">
        <f>HYPERLINK("https://pulti.ua/tyunera/pult-dlja-skygate")</f>
        <v>https://pulti.ua/tyunera/pult-dlja-skygate</v>
      </c>
    </row>
    <row r="1097" spans="1:8" s="18" customFormat="1" ht="15" customHeight="1">
      <c r="A1097" s="11">
        <v>2546</v>
      </c>
      <c r="B1097" s="12" t="s">
        <v>1007</v>
      </c>
      <c r="C1097" s="13" t="s">
        <v>905</v>
      </c>
      <c r="D1097" s="14"/>
      <c r="E1097" s="9">
        <v>45</v>
      </c>
      <c r="F1097" s="9">
        <f t="shared" si="35"/>
        <v>0</v>
      </c>
      <c r="G1097" s="13"/>
      <c r="H1097" s="14" t="str">
        <f>HYPERLINK("https://pulti.ua/tyunera/pult-dlja-skyon-dsr-1350")</f>
        <v>https://pulti.ua/tyunera/pult-dlja-skyon-dsr-1350</v>
      </c>
    </row>
    <row r="1098" spans="1:8" s="18" customFormat="1" ht="15" customHeight="1">
      <c r="A1098" s="11">
        <v>2547</v>
      </c>
      <c r="B1098" s="12" t="s">
        <v>1008</v>
      </c>
      <c r="C1098" s="13" t="s">
        <v>905</v>
      </c>
      <c r="D1098" s="14"/>
      <c r="E1098" s="9">
        <v>60</v>
      </c>
      <c r="F1098" s="9">
        <f t="shared" si="35"/>
        <v>0</v>
      </c>
      <c r="G1098" s="13"/>
      <c r="H1098" s="14" t="str">
        <f>HYPERLINK("https://pulti.ua/tyunera/pult-dlja-skyon-dsr-2300")</f>
        <v>https://pulti.ua/tyunera/pult-dlja-skyon-dsr-2300</v>
      </c>
    </row>
    <row r="1099" spans="1:8" s="18" customFormat="1" ht="15" customHeight="1">
      <c r="A1099" s="39">
        <v>3870</v>
      </c>
      <c r="B1099" s="26" t="s">
        <v>1009</v>
      </c>
      <c r="C1099" s="13" t="s">
        <v>909</v>
      </c>
      <c r="D1099" s="14"/>
      <c r="E1099" s="9">
        <v>48.8</v>
      </c>
      <c r="F1099" s="9">
        <f t="shared" si="35"/>
        <v>0</v>
      </c>
      <c r="G1099" s="13"/>
      <c r="H1099" s="14" t="str">
        <f>HYPERLINK("https://pulti.ua/dvb-t2-resivery/pult-dlja-skyprime-v-t2")</f>
        <v>https://pulti.ua/dvb-t2-resivery/pult-dlja-skyprime-v-t2</v>
      </c>
    </row>
    <row r="1100" spans="1:8" s="18" customFormat="1" ht="15" customHeight="1">
      <c r="A1100" s="11">
        <v>4291</v>
      </c>
      <c r="B1100" s="12" t="s">
        <v>1418</v>
      </c>
      <c r="C1100" s="13" t="s">
        <v>909</v>
      </c>
      <c r="D1100" s="14"/>
      <c r="E1100" s="9">
        <v>46.9</v>
      </c>
      <c r="F1100" s="9">
        <f t="shared" si="35"/>
        <v>0</v>
      </c>
      <c r="G1100" s="13"/>
      <c r="H1100" s="14" t="str">
        <f>HYPERLINK("https://pulti.ua/dvb-t2-resivery/pult-dlya-skyprime-v-t2")</f>
        <v>https://pulti.ua/dvb-t2-resivery/pult-dlya-skyprime-v-t2</v>
      </c>
    </row>
    <row r="1101" spans="1:8" s="18" customFormat="1" ht="15" customHeight="1">
      <c r="A1101" s="11">
        <v>2548</v>
      </c>
      <c r="B1101" s="12" t="s">
        <v>1010</v>
      </c>
      <c r="C1101" s="13" t="s">
        <v>905</v>
      </c>
      <c r="D1101" s="14"/>
      <c r="E1101" s="9">
        <v>71.3</v>
      </c>
      <c r="F1101" s="9">
        <f t="shared" si="35"/>
        <v>0</v>
      </c>
      <c r="G1101" s="13"/>
      <c r="H1101" s="14" t="str">
        <f>HYPERLINK("https://pulti.ua/tyunera/pult-dlja-smart-enigma-mx-05")</f>
        <v>https://pulti.ua/tyunera/pult-dlja-smart-enigma-mx-05</v>
      </c>
    </row>
    <row r="1102" spans="1:8" s="18" customFormat="1" ht="15" customHeight="1">
      <c r="A1102" s="11">
        <v>2549</v>
      </c>
      <c r="B1102" s="12" t="s">
        <v>1011</v>
      </c>
      <c r="C1102" s="13" t="s">
        <v>905</v>
      </c>
      <c r="D1102" s="14"/>
      <c r="E1102" s="9">
        <v>71.3</v>
      </c>
      <c r="F1102" s="9">
        <f t="shared" si="35"/>
        <v>0</v>
      </c>
      <c r="G1102" s="13"/>
      <c r="H1102" s="14" t="str">
        <f>HYPERLINK("https://pulti.ua/tyunera/pult-dlja-smart-mx-04-2")</f>
        <v>https://pulti.ua/tyunera/pult-dlja-smart-mx-04-2</v>
      </c>
    </row>
    <row r="1103" spans="1:8" s="18" customFormat="1" ht="15" customHeight="1">
      <c r="A1103" s="11">
        <v>2550</v>
      </c>
      <c r="B1103" s="12" t="s">
        <v>1012</v>
      </c>
      <c r="C1103" s="13" t="s">
        <v>905</v>
      </c>
      <c r="D1103" s="14"/>
      <c r="E1103" s="9">
        <v>33.8</v>
      </c>
      <c r="F1103" s="9">
        <f t="shared" si="35"/>
        <v>0</v>
      </c>
      <c r="G1103" s="13"/>
      <c r="H1103" s="14" t="str">
        <f>HYPERLINK("https://pulti.ua/tyunera/pult-dlja-smart-rapido")</f>
        <v>https://pulti.ua/tyunera/pult-dlja-smart-rapido</v>
      </c>
    </row>
    <row r="1104" spans="1:8" s="18" customFormat="1" ht="15" customHeight="1">
      <c r="A1104" s="39">
        <v>4477</v>
      </c>
      <c r="B1104" s="26" t="s">
        <v>1013</v>
      </c>
      <c r="C1104" s="13" t="s">
        <v>940</v>
      </c>
      <c r="D1104" s="14"/>
      <c r="E1104" s="9">
        <v>65.6</v>
      </c>
      <c r="F1104" s="9">
        <f t="shared" si="35"/>
        <v>0</v>
      </c>
      <c r="G1104" s="13"/>
      <c r="H1104" s="14" t="str">
        <f>HYPERLINK("https://pulti.ua/mediapleery/pult-dlya-smart-tv-box-mecool-k1-plus")</f>
        <v>https://pulti.ua/mediapleery/pult-dlya-smart-tv-box-mecool-k1-plus</v>
      </c>
    </row>
    <row r="1105" spans="1:8" s="18" customFormat="1" ht="15" customHeight="1">
      <c r="A1105" s="11">
        <v>4500</v>
      </c>
      <c r="B1105" s="12" t="s">
        <v>1014</v>
      </c>
      <c r="C1105" s="13" t="s">
        <v>940</v>
      </c>
      <c r="D1105" s="15" t="s">
        <v>1419</v>
      </c>
      <c r="E1105" s="9">
        <v>187.5</v>
      </c>
      <c r="F1105" s="9"/>
      <c r="G1105" s="13"/>
      <c r="H1105" s="14" t="str">
        <f>HYPERLINK("https://pulti.ua/mediapleery/pult-dlya-smart-tv-box-mx9-pro")</f>
        <v>https://pulti.ua/mediapleery/pult-dlya-smart-tv-box-mx9-pro</v>
      </c>
    </row>
    <row r="1106" spans="1:8" s="18" customFormat="1" ht="15" customHeight="1">
      <c r="A1106" s="11">
        <v>4505</v>
      </c>
      <c r="B1106" s="12" t="s">
        <v>1420</v>
      </c>
      <c r="C1106" s="13" t="s">
        <v>940</v>
      </c>
      <c r="D1106" s="14"/>
      <c r="E1106" s="9">
        <v>120</v>
      </c>
      <c r="F1106" s="9">
        <f>D1106*E1106</f>
        <v>0</v>
      </c>
      <c r="G1106" s="13"/>
      <c r="H1106" s="14" t="str">
        <f>HYPERLINK("https://pulti.ua/mediapleery/pult-dlya-smart-tv-box-mxq-4k")</f>
        <v>https://pulti.ua/mediapleery/pult-dlya-smart-tv-box-mxq-4k</v>
      </c>
    </row>
    <row r="1107" spans="1:8" s="18" customFormat="1" ht="15" customHeight="1">
      <c r="A1107" s="11">
        <v>4313</v>
      </c>
      <c r="B1107" s="12" t="s">
        <v>1421</v>
      </c>
      <c r="C1107" s="13" t="s">
        <v>940</v>
      </c>
      <c r="D1107" s="14"/>
      <c r="E1107" s="9">
        <v>48.8</v>
      </c>
      <c r="F1107" s="9">
        <f>D1107*E1107</f>
        <v>0</v>
      </c>
      <c r="G1107" s="13"/>
      <c r="H1107" s="14" t="str">
        <f>HYPERLINK("https://pulti.ua/mediapleery/pult-dlya-smart-tv-box-w95")</f>
        <v>https://pulti.ua/mediapleery/pult-dlya-smart-tv-box-w95</v>
      </c>
    </row>
    <row r="1108" spans="1:8" s="18" customFormat="1" ht="15" customHeight="1">
      <c r="A1108" s="11">
        <v>4610</v>
      </c>
      <c r="B1108" s="12" t="s">
        <v>1422</v>
      </c>
      <c r="C1108" s="13" t="s">
        <v>940</v>
      </c>
      <c r="D1108" s="14"/>
      <c r="E1108" s="9">
        <v>76.9</v>
      </c>
      <c r="F1108" s="9">
        <f>D1108*E1108</f>
        <v>0</v>
      </c>
      <c r="G1108" s="13"/>
      <c r="H1108" s="14" t="str">
        <f>HYPERLINK("https://pulti.ua/mediapleery/pult-dlya-smart-tv-box-x92-s-obuchaemym-blokom")</f>
        <v>https://pulti.ua/mediapleery/pult-dlya-smart-tv-box-x92-s-obuchaemym-blokom</v>
      </c>
    </row>
    <row r="1109" spans="1:8" s="18" customFormat="1" ht="15" customHeight="1">
      <c r="A1109" s="39">
        <v>4886</v>
      </c>
      <c r="B1109" s="26" t="s">
        <v>1423</v>
      </c>
      <c r="C1109" s="13" t="s">
        <v>940</v>
      </c>
      <c r="D1109" s="14"/>
      <c r="E1109" s="9">
        <v>52.5</v>
      </c>
      <c r="F1109" s="9">
        <f>D1109*E1109</f>
        <v>0</v>
      </c>
      <c r="G1109" s="13"/>
      <c r="H1109" s="14"/>
    </row>
    <row r="1110" spans="1:8" s="18" customFormat="1" ht="15" customHeight="1">
      <c r="A1110" s="39">
        <v>4532</v>
      </c>
      <c r="B1110" s="26" t="s">
        <v>1424</v>
      </c>
      <c r="C1110" s="13" t="s">
        <v>940</v>
      </c>
      <c r="D1110" s="15" t="s">
        <v>1349</v>
      </c>
      <c r="E1110" s="9">
        <v>60</v>
      </c>
      <c r="F1110" s="9"/>
      <c r="G1110" s="13"/>
      <c r="H1110" s="14" t="str">
        <f>HYPERLINK("https://pulti.ua/mediapleery/pult-dlya-smart-tv-box-x96-s-obuchaemim-blokom")</f>
        <v>https://pulti.ua/mediapleery/pult-dlya-smart-tv-box-x96-s-obuchaemim-blokom</v>
      </c>
    </row>
    <row r="1111" spans="1:8" s="18" customFormat="1" ht="15" customHeight="1">
      <c r="A1111" s="11">
        <v>4808</v>
      </c>
      <c r="B1111" s="12" t="s">
        <v>1015</v>
      </c>
      <c r="C1111" s="13" t="s">
        <v>940</v>
      </c>
      <c r="D1111" s="14"/>
      <c r="E1111" s="9">
        <v>112.5</v>
      </c>
      <c r="F1111" s="9">
        <f aca="true" t="shared" si="36" ref="F1111:F1120">D1111*E1111</f>
        <v>0</v>
      </c>
      <c r="G1111" s="13"/>
      <c r="H1111" s="14" t="str">
        <f>HYPERLINK("https://pulti.ua/uk/dvb-t2-resivery/pult-dlya-smart-tv-box-x96-x4s")</f>
        <v>https://pulti.ua/uk/dvb-t2-resivery/pult-dlya-smart-tv-box-x96-x4s</v>
      </c>
    </row>
    <row r="1112" spans="1:8" s="18" customFormat="1" ht="15" customHeight="1">
      <c r="A1112" s="44">
        <v>4843</v>
      </c>
      <c r="B1112" s="45" t="s">
        <v>1016</v>
      </c>
      <c r="C1112" s="13" t="s">
        <v>940</v>
      </c>
      <c r="D1112" s="14"/>
      <c r="E1112" s="9">
        <v>131.3</v>
      </c>
      <c r="F1112" s="9">
        <f t="shared" si="36"/>
        <v>0</v>
      </c>
      <c r="G1112" s="13"/>
      <c r="H1112" s="14" t="str">
        <f>HYPERLINK("https://pulti.ua/mediapleery/pult-dlya-smart-tv-box-x96-x6s")</f>
        <v>https://pulti.ua/mediapleery/pult-dlya-smart-tv-box-x96-x6s</v>
      </c>
    </row>
    <row r="1113" spans="1:8" s="18" customFormat="1" ht="15" customHeight="1">
      <c r="A1113" s="11">
        <v>4191</v>
      </c>
      <c r="B1113" s="12" t="s">
        <v>1017</v>
      </c>
      <c r="C1113" s="13" t="s">
        <v>940</v>
      </c>
      <c r="D1113" s="14"/>
      <c r="E1113" s="9">
        <v>50.6</v>
      </c>
      <c r="F1113" s="9">
        <f t="shared" si="36"/>
        <v>0</v>
      </c>
      <c r="G1113" s="13"/>
      <c r="H1113" s="14" t="str">
        <f>HYPERLINK("https://pulti.ua/mediapleery/pult-dlya-smart-tv-box-x96")</f>
        <v>https://pulti.ua/mediapleery/pult-dlya-smart-tv-box-x96</v>
      </c>
    </row>
    <row r="1114" spans="1:8" s="18" customFormat="1" ht="15" customHeight="1">
      <c r="A1114" s="39">
        <v>3871</v>
      </c>
      <c r="B1114" s="26" t="s">
        <v>1018</v>
      </c>
      <c r="C1114" s="13" t="s">
        <v>905</v>
      </c>
      <c r="D1114" s="14"/>
      <c r="E1114" s="9">
        <v>48.8</v>
      </c>
      <c r="F1114" s="9">
        <f t="shared" si="36"/>
        <v>0</v>
      </c>
      <c r="G1114" s="13"/>
      <c r="H1114" s="14" t="str">
        <f>HYPERLINK("https://pulti.ua/tyunera/pult-dlja-star-track-55x-hd")</f>
        <v>https://pulti.ua/tyunera/pult-dlja-star-track-55x-hd</v>
      </c>
    </row>
    <row r="1115" spans="1:8" s="18" customFormat="1" ht="15" customHeight="1">
      <c r="A1115" s="11">
        <v>4139</v>
      </c>
      <c r="B1115" s="12" t="s">
        <v>1019</v>
      </c>
      <c r="C1115" s="13" t="s">
        <v>905</v>
      </c>
      <c r="D1115" s="14"/>
      <c r="E1115" s="9">
        <v>48.8</v>
      </c>
      <c r="F1115" s="9">
        <f t="shared" si="36"/>
        <v>0</v>
      </c>
      <c r="G1115" s="13"/>
      <c r="H1115" s="14" t="str">
        <f>HYPERLINK("https://pulti.ua/tyunera/pult-dlya-star-track-55x-hd")</f>
        <v>https://pulti.ua/tyunera/pult-dlya-star-track-55x-hd</v>
      </c>
    </row>
    <row r="1116" spans="1:8" s="18" customFormat="1" ht="15" customHeight="1">
      <c r="A1116" s="11">
        <v>2553</v>
      </c>
      <c r="B1116" s="12" t="s">
        <v>1020</v>
      </c>
      <c r="C1116" s="13" t="s">
        <v>905</v>
      </c>
      <c r="D1116" s="14"/>
      <c r="E1116" s="9">
        <v>37.5</v>
      </c>
      <c r="F1116" s="9">
        <f t="shared" si="36"/>
        <v>0</v>
      </c>
      <c r="G1116" s="13"/>
      <c r="H1116" s="14" t="str">
        <f>HYPERLINK("https://pulti.ua/tyunera/pult-dlja-star-track-dvb-c5")</f>
        <v>https://pulti.ua/tyunera/pult-dlja-star-track-dvb-c5</v>
      </c>
    </row>
    <row r="1117" spans="1:8" s="18" customFormat="1" ht="15" customHeight="1">
      <c r="A1117" s="11">
        <v>2554</v>
      </c>
      <c r="B1117" s="12" t="s">
        <v>1021</v>
      </c>
      <c r="C1117" s="13" t="s">
        <v>905</v>
      </c>
      <c r="D1117" s="14"/>
      <c r="E1117" s="9">
        <v>67.5</v>
      </c>
      <c r="F1117" s="9">
        <f t="shared" si="36"/>
        <v>0</v>
      </c>
      <c r="G1117" s="13"/>
      <c r="H1117" s="14" t="str">
        <f>HYPERLINK("https://pulti.ua/tyunera/pult-dlja-star-track-x1150ch")</f>
        <v>https://pulti.ua/tyunera/pult-dlja-star-track-x1150ch</v>
      </c>
    </row>
    <row r="1118" spans="1:8" s="18" customFormat="1" ht="15" customHeight="1">
      <c r="A1118" s="39">
        <v>3307</v>
      </c>
      <c r="B1118" s="26" t="s">
        <v>1022</v>
      </c>
      <c r="C1118" s="13" t="s">
        <v>905</v>
      </c>
      <c r="D1118" s="14"/>
      <c r="E1118" s="9">
        <v>37.5</v>
      </c>
      <c r="F1118" s="9">
        <f t="shared" si="36"/>
        <v>0</v>
      </c>
      <c r="G1118" s="13"/>
      <c r="H1118" s="14" t="str">
        <f>HYPERLINK("https://pulti.ua/tyunera/pult-dlja-starsat-sr-x7300cu")</f>
        <v>https://pulti.ua/tyunera/pult-dlja-starsat-sr-x7300cu</v>
      </c>
    </row>
    <row r="1119" spans="1:8" s="18" customFormat="1" ht="15" customHeight="1">
      <c r="A1119" s="39">
        <v>2555</v>
      </c>
      <c r="B1119" s="26" t="s">
        <v>1023</v>
      </c>
      <c r="C1119" s="13" t="s">
        <v>905</v>
      </c>
      <c r="D1119" s="14"/>
      <c r="E1119" s="9">
        <v>123.8</v>
      </c>
      <c r="F1119" s="9">
        <f t="shared" si="36"/>
        <v>0</v>
      </c>
      <c r="G1119" s="13"/>
      <c r="H1119" s="14" t="str">
        <f>HYPERLINK("https://pulti.ua/domashnie-kinoteatry/pult-dlja-samsung-ah59-02555a")</f>
        <v>https://pulti.ua/domashnie-kinoteatry/pult-dlja-samsung-ah59-02555a</v>
      </c>
    </row>
    <row r="1120" spans="1:8" s="18" customFormat="1" ht="15" customHeight="1">
      <c r="A1120" s="11">
        <v>2564</v>
      </c>
      <c r="B1120" s="12" t="s">
        <v>1024</v>
      </c>
      <c r="C1120" s="13" t="s">
        <v>905</v>
      </c>
      <c r="D1120" s="14"/>
      <c r="E1120" s="9">
        <v>56.3</v>
      </c>
      <c r="F1120" s="9">
        <f t="shared" si="36"/>
        <v>0</v>
      </c>
      <c r="G1120" s="13"/>
      <c r="H1120" s="14" t="str">
        <f>HYPERLINK("https://pulti.ua/tyunera/pult-dlja-strong-rc-6016")</f>
        <v>https://pulti.ua/tyunera/pult-dlja-strong-rc-6016</v>
      </c>
    </row>
    <row r="1121" spans="1:8" s="18" customFormat="1" ht="15" customHeight="1">
      <c r="A1121" s="39">
        <v>4428</v>
      </c>
      <c r="B1121" s="26" t="s">
        <v>1025</v>
      </c>
      <c r="C1121" s="13" t="s">
        <v>905</v>
      </c>
      <c r="D1121" s="15" t="s">
        <v>1349</v>
      </c>
      <c r="E1121" s="9">
        <v>71.3</v>
      </c>
      <c r="F1121" s="9"/>
      <c r="G1121" s="13"/>
      <c r="H1121" s="14" t="str">
        <f>HYPERLINK("https://pulti.ua/tyunera/pult-dlya-strong-srt-7600")</f>
        <v>https://pulti.ua/tyunera/pult-dlya-strong-srt-7600</v>
      </c>
    </row>
    <row r="1122" spans="1:8" s="18" customFormat="1" ht="15" customHeight="1">
      <c r="A1122" s="11">
        <v>2559</v>
      </c>
      <c r="B1122" s="12" t="s">
        <v>1026</v>
      </c>
      <c r="C1122" s="13" t="s">
        <v>905</v>
      </c>
      <c r="D1122" s="14"/>
      <c r="E1122" s="9">
        <v>61.9</v>
      </c>
      <c r="F1122" s="9">
        <f>D1122*E1122</f>
        <v>0</v>
      </c>
      <c r="G1122" s="13"/>
      <c r="H1122" s="14" t="str">
        <f>HYPERLINK("https://pulti.ua/tyunera/pult-dlja-strong-srt-60xx")</f>
        <v>https://pulti.ua/tyunera/pult-dlja-strong-srt-60xx</v>
      </c>
    </row>
    <row r="1123" spans="1:8" s="18" customFormat="1" ht="15" customHeight="1">
      <c r="A1123" s="39">
        <v>3848</v>
      </c>
      <c r="B1123" s="26" t="s">
        <v>1027</v>
      </c>
      <c r="C1123" s="13" t="s">
        <v>905</v>
      </c>
      <c r="D1123" s="14"/>
      <c r="E1123" s="9">
        <v>67.5</v>
      </c>
      <c r="F1123" s="9">
        <f>D1123*E1123</f>
        <v>0</v>
      </c>
      <c r="G1123" s="13"/>
      <c r="H1123" s="14" t="str">
        <f>HYPERLINK("https://pulti.ua/volja-tv/pult-dlja-strong-srt7711")</f>
        <v>https://pulti.ua/volja-tv/pult-dlja-strong-srt7711</v>
      </c>
    </row>
    <row r="1124" spans="1:8" s="18" customFormat="1" ht="15" customHeight="1">
      <c r="A1124" s="11">
        <v>3873</v>
      </c>
      <c r="B1124" s="12" t="s">
        <v>1425</v>
      </c>
      <c r="C1124" s="13" t="s">
        <v>909</v>
      </c>
      <c r="D1124" s="14"/>
      <c r="E1124" s="9">
        <v>50.6</v>
      </c>
      <c r="F1124" s="9">
        <f>D1124*E1124</f>
        <v>0</v>
      </c>
      <c r="G1124" s="13"/>
      <c r="H1124" s="14" t="str">
        <f>HYPERLINK("https://pulti.ua/dvb-t2-resivery/pult-dlja-strong-srt8202")</f>
        <v>https://pulti.ua/dvb-t2-resivery/pult-dlja-strong-srt8202</v>
      </c>
    </row>
    <row r="1125" spans="1:8" s="18" customFormat="1" ht="15" customHeight="1">
      <c r="A1125" s="11">
        <v>4000</v>
      </c>
      <c r="B1125" s="12" t="s">
        <v>1028</v>
      </c>
      <c r="C1125" s="13" t="s">
        <v>909</v>
      </c>
      <c r="D1125" s="14"/>
      <c r="E1125" s="9">
        <v>46.9</v>
      </c>
      <c r="F1125" s="9">
        <f>D1125*E1125</f>
        <v>0</v>
      </c>
      <c r="G1125" s="13"/>
      <c r="H1125" s="14" t="str">
        <f>HYPERLINK("https://pulti.ua/dvb-t2-resivery/pult-dlja-strong-srt-8204")</f>
        <v>https://pulti.ua/dvb-t2-resivery/pult-dlja-strong-srt-8204</v>
      </c>
    </row>
    <row r="1126" spans="1:8" s="18" customFormat="1" ht="15" customHeight="1">
      <c r="A1126" s="11">
        <v>2955</v>
      </c>
      <c r="B1126" s="12" t="s">
        <v>1029</v>
      </c>
      <c r="C1126" s="13" t="s">
        <v>909</v>
      </c>
      <c r="D1126" s="14"/>
      <c r="E1126" s="9">
        <v>48.8</v>
      </c>
      <c r="F1126" s="9">
        <f>D1126*E1126</f>
        <v>0</v>
      </c>
      <c r="G1126" s="13"/>
      <c r="H1126" s="14" t="str">
        <f>HYPERLINK("https://pulti.ua/dvb-t2-resivery/pult-dlja-strong-srt-8500hd--dvb-t2")</f>
        <v>https://pulti.ua/dvb-t2-resivery/pult-dlja-strong-srt-8500hd--dvb-t2</v>
      </c>
    </row>
    <row r="1127" spans="1:8" s="18" customFormat="1" ht="15" customHeight="1">
      <c r="A1127" s="39">
        <v>3255</v>
      </c>
      <c r="B1127" s="26" t="s">
        <v>1030</v>
      </c>
      <c r="C1127" s="13" t="s">
        <v>909</v>
      </c>
      <c r="D1127" s="15" t="s">
        <v>1314</v>
      </c>
      <c r="E1127" s="9">
        <v>51.4</v>
      </c>
      <c r="F1127" s="9"/>
      <c r="G1127" s="13"/>
      <c r="H1127" s="14" t="str">
        <f>HYPERLINK("https://pulti.ua/dvb-t2-resivery/pult-dlja-strong-srt-8500hd--dvb-t2--ic")</f>
        <v>https://pulti.ua/dvb-t2-resivery/pult-dlja-strong-srt-8500hd--dvb-t2--ic</v>
      </c>
    </row>
    <row r="1128" spans="1:8" s="18" customFormat="1" ht="15" customHeight="1">
      <c r="A1128" s="11">
        <v>3989</v>
      </c>
      <c r="B1128" s="12" t="s">
        <v>1031</v>
      </c>
      <c r="C1128" s="13" t="s">
        <v>909</v>
      </c>
      <c r="D1128" s="14"/>
      <c r="E1128" s="9">
        <v>51.4</v>
      </c>
      <c r="F1128" s="9">
        <f aca="true" t="shared" si="37" ref="F1128:F1135">D1128*E1128</f>
        <v>0</v>
      </c>
      <c r="G1128" s="13"/>
      <c r="H1128" s="14" t="str">
        <f>HYPERLINK("https://pulti.ua/dvb-t2-resivery/pult-dlja-strong-srt-8502")</f>
        <v>https://pulti.ua/dvb-t2-resivery/pult-dlja-strong-srt-8502</v>
      </c>
    </row>
    <row r="1129" spans="1:8" s="18" customFormat="1" ht="15" customHeight="1">
      <c r="A1129" s="39">
        <v>3605</v>
      </c>
      <c r="B1129" s="26" t="s">
        <v>1032</v>
      </c>
      <c r="C1129" s="13" t="s">
        <v>909</v>
      </c>
      <c r="D1129" s="14"/>
      <c r="E1129" s="9">
        <v>65.6</v>
      </c>
      <c r="F1129" s="9">
        <f t="shared" si="37"/>
        <v>0</v>
      </c>
      <c r="G1129" s="13"/>
      <c r="H1129" s="14" t="str">
        <f>HYPERLINK("https://pulti.ua/dvb-t2-resivery/pult-dlja-strong-srt-8502-dvb-t2-ic")</f>
        <v>https://pulti.ua/dvb-t2-resivery/pult-dlja-strong-srt-8502-dvb-t2-ic</v>
      </c>
    </row>
    <row r="1130" spans="1:8" s="18" customFormat="1" ht="15" customHeight="1">
      <c r="A1130" s="11">
        <v>2556</v>
      </c>
      <c r="B1130" s="12" t="s">
        <v>1033</v>
      </c>
      <c r="C1130" s="13" t="s">
        <v>905</v>
      </c>
      <c r="D1130" s="14"/>
      <c r="E1130" s="9">
        <v>56.3</v>
      </c>
      <c r="F1130" s="9">
        <f t="shared" si="37"/>
        <v>0</v>
      </c>
      <c r="G1130" s="13"/>
      <c r="H1130" s="14" t="str">
        <f>HYPERLINK("https://pulti.ua/tyunera/pult-dlja-strong-srt-4125-evolution")</f>
        <v>https://pulti.ua/tyunera/pult-dlja-strong-srt-4125-evolution</v>
      </c>
    </row>
    <row r="1131" spans="1:8" s="18" customFormat="1" ht="15" customHeight="1">
      <c r="A1131" s="39">
        <v>2558</v>
      </c>
      <c r="B1131" s="26" t="s">
        <v>1034</v>
      </c>
      <c r="C1131" s="13" t="s">
        <v>905</v>
      </c>
      <c r="D1131" s="14"/>
      <c r="E1131" s="9">
        <v>93.8</v>
      </c>
      <c r="F1131" s="9">
        <f t="shared" si="37"/>
        <v>0</v>
      </c>
      <c r="G1131" s="13"/>
      <c r="H1131" s="14" t="str">
        <f>HYPERLINK("https://pulti.ua/tyunera/pult-dlja-strong-srt-4450")</f>
        <v>https://pulti.ua/tyunera/pult-dlja-strong-srt-4450</v>
      </c>
    </row>
    <row r="1132" spans="1:8" s="18" customFormat="1" ht="15" customHeight="1">
      <c r="A1132" s="39">
        <v>2562</v>
      </c>
      <c r="B1132" s="26" t="s">
        <v>1035</v>
      </c>
      <c r="C1132" s="13" t="s">
        <v>905</v>
      </c>
      <c r="D1132" s="14"/>
      <c r="E1132" s="9">
        <v>93.8</v>
      </c>
      <c r="F1132" s="9">
        <f t="shared" si="37"/>
        <v>0</v>
      </c>
      <c r="G1132" s="13"/>
      <c r="H1132" s="14" t="str">
        <f>HYPERLINK("https://pulti.ua/tyunera/pult-dlja-strong-str-7700-viasat")</f>
        <v>https://pulti.ua/tyunera/pult-dlja-strong-str-7700-viasat</v>
      </c>
    </row>
    <row r="1133" spans="1:8" s="18" customFormat="1" ht="15" customHeight="1">
      <c r="A1133" s="11">
        <v>4613</v>
      </c>
      <c r="B1133" s="12" t="s">
        <v>1036</v>
      </c>
      <c r="C1133" s="13" t="s">
        <v>940</v>
      </c>
      <c r="D1133" s="14"/>
      <c r="E1133" s="9">
        <v>121.9</v>
      </c>
      <c r="F1133" s="9">
        <f t="shared" si="37"/>
        <v>0</v>
      </c>
      <c r="G1133" s="13"/>
      <c r="H1133" s="14" t="str">
        <f>HYPERLINK("https://pulti.ua/mediapleery/pult-dlya-tanix-tx3")</f>
        <v>https://pulti.ua/mediapleery/pult-dlya-tanix-tx3</v>
      </c>
    </row>
    <row r="1134" spans="1:8" s="18" customFormat="1" ht="15" customHeight="1">
      <c r="A1134" s="11">
        <v>2566</v>
      </c>
      <c r="B1134" s="12" t="s">
        <v>1037</v>
      </c>
      <c r="C1134" s="13" t="s">
        <v>905</v>
      </c>
      <c r="D1134" s="14"/>
      <c r="E1134" s="9">
        <v>135</v>
      </c>
      <c r="F1134" s="9">
        <f t="shared" si="37"/>
        <v>0</v>
      </c>
      <c r="G1134" s="13"/>
      <c r="H1134" s="14" t="str">
        <f>HYPERLINK("https://pulti.ua/tyunera/pult-dlja-technosat-6000a")</f>
        <v>https://pulti.ua/tyunera/pult-dlja-technosat-6000a</v>
      </c>
    </row>
    <row r="1135" spans="1:8" s="18" customFormat="1" ht="15" customHeight="1">
      <c r="A1135" s="11">
        <v>4134</v>
      </c>
      <c r="B1135" s="12" t="s">
        <v>1038</v>
      </c>
      <c r="C1135" s="13" t="s">
        <v>905</v>
      </c>
      <c r="D1135" s="14"/>
      <c r="E1135" s="9">
        <v>50.6</v>
      </c>
      <c r="F1135" s="9">
        <f t="shared" si="37"/>
        <v>0</v>
      </c>
      <c r="G1135" s="13"/>
      <c r="H1135" s="14" t="str">
        <f>HYPERLINK("https://pulti.ua/tyunera/pult-dlya-tiger-4050hd")</f>
        <v>https://pulti.ua/tyunera/pult-dlya-tiger-4050hd</v>
      </c>
    </row>
    <row r="1136" spans="1:8" s="18" customFormat="1" ht="15" customHeight="1">
      <c r="A1136" s="39">
        <v>3767</v>
      </c>
      <c r="B1136" s="26" t="s">
        <v>1039</v>
      </c>
      <c r="C1136" s="13" t="s">
        <v>905</v>
      </c>
      <c r="D1136" s="15" t="s">
        <v>1314</v>
      </c>
      <c r="E1136" s="9">
        <v>50.6</v>
      </c>
      <c r="F1136" s="9"/>
      <c r="G1136" s="13"/>
      <c r="H1136" s="14" t="str">
        <f>HYPERLINK("https://pulti.ua/tyunera/pult-dlja-tiger-4050hd")</f>
        <v>https://pulti.ua/tyunera/pult-dlja-tiger-4050hd</v>
      </c>
    </row>
    <row r="1137" spans="1:8" s="18" customFormat="1" ht="15" customHeight="1">
      <c r="A1137" s="11">
        <v>4189</v>
      </c>
      <c r="B1137" s="12" t="s">
        <v>1040</v>
      </c>
      <c r="C1137" s="13" t="s">
        <v>905</v>
      </c>
      <c r="D1137" s="14"/>
      <c r="E1137" s="9">
        <v>50.6</v>
      </c>
      <c r="F1137" s="9">
        <f aca="true" t="shared" si="38" ref="F1137:F1167">D1137*E1137</f>
        <v>0</v>
      </c>
      <c r="G1137" s="13"/>
      <c r="H1137" s="14" t="str">
        <f>HYPERLINK("https://pulti.ua/dvb-t2-resivery/pult-dlya-tiger-f1")</f>
        <v>https://pulti.ua/dvb-t2-resivery/pult-dlya-tiger-f1</v>
      </c>
    </row>
    <row r="1138" spans="1:8" s="18" customFormat="1" ht="15" customHeight="1">
      <c r="A1138" s="11">
        <v>2568</v>
      </c>
      <c r="B1138" s="12" t="s">
        <v>1041</v>
      </c>
      <c r="C1138" s="13" t="s">
        <v>905</v>
      </c>
      <c r="D1138" s="14"/>
      <c r="E1138" s="9">
        <v>71.3</v>
      </c>
      <c r="F1138" s="9">
        <f t="shared" si="38"/>
        <v>0</v>
      </c>
      <c r="G1138" s="13"/>
      <c r="H1138" s="14" t="str">
        <f>HYPERLINK("https://pulti.ua/tyunera/pult-dlja-tiger-t5-t6")</f>
        <v>https://pulti.ua/tyunera/pult-dlja-tiger-t5-t6</v>
      </c>
    </row>
    <row r="1139" spans="1:8" s="18" customFormat="1" ht="15" customHeight="1">
      <c r="A1139" s="39">
        <v>3768</v>
      </c>
      <c r="B1139" s="26" t="s">
        <v>1042</v>
      </c>
      <c r="C1139" s="13" t="s">
        <v>909</v>
      </c>
      <c r="D1139" s="14"/>
      <c r="E1139" s="9">
        <v>47.3</v>
      </c>
      <c r="F1139" s="9">
        <f t="shared" si="38"/>
        <v>0</v>
      </c>
      <c r="G1139" s="13"/>
      <c r="H1139" s="14" t="str">
        <f>HYPERLINK("https://pulti.ua/dvb-t2-resivery/pult-dlja-tiger-t2")</f>
        <v>https://pulti.ua/dvb-t2-resivery/pult-dlja-tiger-t2</v>
      </c>
    </row>
    <row r="1140" spans="1:8" s="18" customFormat="1" ht="15" customHeight="1">
      <c r="A1140" s="11">
        <v>4135</v>
      </c>
      <c r="B1140" s="12" t="s">
        <v>1043</v>
      </c>
      <c r="C1140" s="13" t="s">
        <v>909</v>
      </c>
      <c r="D1140" s="14"/>
      <c r="E1140" s="9">
        <v>43.9</v>
      </c>
      <c r="F1140" s="9">
        <f t="shared" si="38"/>
        <v>0</v>
      </c>
      <c r="G1140" s="13"/>
      <c r="H1140" s="14" t="str">
        <f>HYPERLINK("https://pulti.ua/dvb-t2-resivery/pult-dlya-tiger-t2")</f>
        <v>https://pulti.ua/dvb-t2-resivery/pult-dlya-tiger-t2</v>
      </c>
    </row>
    <row r="1141" spans="1:8" s="18" customFormat="1" ht="15" customHeight="1">
      <c r="A1141" s="39">
        <v>2569</v>
      </c>
      <c r="B1141" s="26" t="s">
        <v>1044</v>
      </c>
      <c r="C1141" s="13" t="s">
        <v>905</v>
      </c>
      <c r="D1141" s="14"/>
      <c r="E1141" s="9">
        <v>75</v>
      </c>
      <c r="F1141" s="9">
        <f t="shared" si="38"/>
        <v>0</v>
      </c>
      <c r="G1141" s="13"/>
      <c r="H1141" s="14" t="str">
        <f>HYPERLINK("https://pulti.ua/tyunera/pult-dlja-tiger-t600hd")</f>
        <v>https://pulti.ua/tyunera/pult-dlja-tiger-t600hd</v>
      </c>
    </row>
    <row r="1142" spans="1:8" s="18" customFormat="1" ht="15" customHeight="1">
      <c r="A1142" s="11">
        <v>2570</v>
      </c>
      <c r="B1142" s="12" t="s">
        <v>1045</v>
      </c>
      <c r="C1142" s="13" t="s">
        <v>905</v>
      </c>
      <c r="D1142" s="14"/>
      <c r="E1142" s="9">
        <v>71.3</v>
      </c>
      <c r="F1142" s="9">
        <f t="shared" si="38"/>
        <v>0</v>
      </c>
      <c r="G1142" s="13"/>
      <c r="H1142" s="14" t="str">
        <f>HYPERLINK("https://pulti.ua/tyunera/pult-dlja-topfield-2-tf64001rc")</f>
        <v>https://pulti.ua/tyunera/pult-dlja-topfield-2-tf64001rc</v>
      </c>
    </row>
    <row r="1143" spans="1:8" s="18" customFormat="1" ht="15" customHeight="1">
      <c r="A1143" s="11">
        <v>2574</v>
      </c>
      <c r="B1143" s="12" t="s">
        <v>1426</v>
      </c>
      <c r="C1143" s="13" t="s">
        <v>905</v>
      </c>
      <c r="D1143" s="14"/>
      <c r="E1143" s="9">
        <v>116.3</v>
      </c>
      <c r="F1143" s="9">
        <f t="shared" si="38"/>
        <v>0</v>
      </c>
      <c r="G1143" s="13"/>
      <c r="H1143" s="14" t="str">
        <f>HYPERLINK("https://pulti.ua/tyunera/pult-dlja-tricolor-gs8300n")</f>
        <v>https://pulti.ua/tyunera/pult-dlja-tricolor-gs8300n</v>
      </c>
    </row>
    <row r="1144" spans="1:8" s="18" customFormat="1" ht="15" customHeight="1">
      <c r="A1144" s="11">
        <v>2572</v>
      </c>
      <c r="B1144" s="12" t="s">
        <v>1046</v>
      </c>
      <c r="C1144" s="13" t="s">
        <v>905</v>
      </c>
      <c r="D1144" s="14"/>
      <c r="E1144" s="9">
        <v>28.1</v>
      </c>
      <c r="F1144" s="9">
        <f t="shared" si="38"/>
        <v>0</v>
      </c>
      <c r="G1144" s="13"/>
      <c r="H1144" s="14" t="str">
        <f>HYPERLINK("https://pulti.ua/tyunera/pult-dlja-tricolor-5000-dre")</f>
        <v>https://pulti.ua/tyunera/pult-dlja-tricolor-5000-dre</v>
      </c>
    </row>
    <row r="1145" spans="1:8" s="18" customFormat="1" ht="15" customHeight="1">
      <c r="A1145" s="39">
        <v>3262</v>
      </c>
      <c r="B1145" s="26" t="s">
        <v>1047</v>
      </c>
      <c r="C1145" s="13" t="s">
        <v>905</v>
      </c>
      <c r="D1145" s="14"/>
      <c r="E1145" s="9">
        <v>31.9</v>
      </c>
      <c r="F1145" s="9">
        <f t="shared" si="38"/>
        <v>0</v>
      </c>
      <c r="G1145" s="13"/>
      <c r="H1145" s="14" t="str">
        <f>HYPERLINK("https://pulti.ua/tyunera/pult-dlja-tricolor-5000-dre--ic")</f>
        <v>https://pulti.ua/tyunera/pult-dlja-tricolor-5000-dre--ic</v>
      </c>
    </row>
    <row r="1146" spans="1:8" s="18" customFormat="1" ht="15" customHeight="1">
      <c r="A1146" s="39">
        <v>3583</v>
      </c>
      <c r="B1146" s="26" t="s">
        <v>1048</v>
      </c>
      <c r="C1146" s="13" t="s">
        <v>905</v>
      </c>
      <c r="D1146" s="14"/>
      <c r="E1146" s="9">
        <v>157.5</v>
      </c>
      <c r="F1146" s="9">
        <f t="shared" si="38"/>
        <v>0</v>
      </c>
      <c r="G1146" s="13"/>
      <c r="H1146" s="14" t="str">
        <f>HYPERLINK("https://pulti.ua/tyunera/pult-dlja-tricolor-gs8300m-new")</f>
        <v>https://pulti.ua/tyunera/pult-dlja-tricolor-gs8300m-new</v>
      </c>
    </row>
    <row r="1147" spans="1:8" s="18" customFormat="1" ht="15" customHeight="1">
      <c r="A1147" s="11">
        <v>2573</v>
      </c>
      <c r="B1147" s="12" t="s">
        <v>1049</v>
      </c>
      <c r="C1147" s="13" t="s">
        <v>905</v>
      </c>
      <c r="D1147" s="14"/>
      <c r="E1147" s="9">
        <v>37.5</v>
      </c>
      <c r="F1147" s="9">
        <f t="shared" si="38"/>
        <v>0</v>
      </c>
      <c r="G1147" s="13"/>
      <c r="H1147" s="14" t="str">
        <f>HYPERLINK("https://pulti.ua/tyunera/pult-dlja-tricolor-gs8300m")</f>
        <v>https://pulti.ua/tyunera/pult-dlja-tricolor-gs8300m</v>
      </c>
    </row>
    <row r="1148" spans="1:8" s="18" customFormat="1" ht="15" customHeight="1">
      <c r="A1148" s="39">
        <v>3950</v>
      </c>
      <c r="B1148" s="26" t="s">
        <v>1050</v>
      </c>
      <c r="C1148" s="13" t="s">
        <v>905</v>
      </c>
      <c r="D1148" s="14"/>
      <c r="E1148" s="9">
        <v>97.5</v>
      </c>
      <c r="F1148" s="9">
        <f t="shared" si="38"/>
        <v>0</v>
      </c>
      <c r="G1148" s="13"/>
      <c r="H1148" s="14" t="str">
        <f>HYPERLINK("https://pulti.ua/tyunera/pult-dlja-tricolor-gs-b212")</f>
        <v>https://pulti.ua/tyunera/pult-dlja-tricolor-gs-b212</v>
      </c>
    </row>
    <row r="1149" spans="1:8" s="18" customFormat="1" ht="15" customHeight="1">
      <c r="A1149" s="39">
        <v>4026</v>
      </c>
      <c r="B1149" s="26" t="s">
        <v>1051</v>
      </c>
      <c r="C1149" s="13" t="s">
        <v>905</v>
      </c>
      <c r="D1149" s="14"/>
      <c r="E1149" s="9">
        <v>86.3</v>
      </c>
      <c r="F1149" s="9">
        <f t="shared" si="38"/>
        <v>0</v>
      </c>
      <c r="G1149" s="13"/>
      <c r="H1149" s="14" t="str">
        <f>HYPERLINK("https://pulti.ua/tyunera/pult-dlya-trimax-sc-350")</f>
        <v>https://pulti.ua/tyunera/pult-dlya-trimax-sc-350</v>
      </c>
    </row>
    <row r="1150" spans="1:8" s="18" customFormat="1" ht="15" customHeight="1">
      <c r="A1150" s="39">
        <v>3600</v>
      </c>
      <c r="B1150" s="26" t="s">
        <v>1427</v>
      </c>
      <c r="C1150" s="13" t="s">
        <v>909</v>
      </c>
      <c r="D1150" s="14"/>
      <c r="E1150" s="9">
        <v>51.8</v>
      </c>
      <c r="F1150" s="9">
        <f t="shared" si="38"/>
        <v>0</v>
      </c>
      <c r="G1150" s="13"/>
      <c r="H1150" s="14" t="str">
        <f>HYPERLINK("https://pulti.ua/dvb-t2-resivery/pult-dlja-trimax-tr-2012-dvb-t2--kak-original-ic")</f>
        <v>https://pulti.ua/dvb-t2-resivery/pult-dlja-trimax-tr-2012-dvb-t2--kak-original-ic</v>
      </c>
    </row>
    <row r="1151" spans="1:8" s="18" customFormat="1" ht="15" customHeight="1">
      <c r="A1151" s="11">
        <v>3047</v>
      </c>
      <c r="B1151" s="12" t="s">
        <v>1052</v>
      </c>
      <c r="C1151" s="13" t="s">
        <v>909</v>
      </c>
      <c r="D1151" s="14"/>
      <c r="E1151" s="9">
        <v>46.9</v>
      </c>
      <c r="F1151" s="9">
        <f t="shared" si="38"/>
        <v>0</v>
      </c>
      <c r="G1151" s="13"/>
      <c r="H1151" s="14" t="str">
        <f>HYPERLINK("https://pulti.ua/dvb-t2-resivery/pult-dlja-trimax-tr-2012hd-dvb-t2")</f>
        <v>https://pulti.ua/dvb-t2-resivery/pult-dlja-trimax-tr-2012hd-dvb-t2</v>
      </c>
    </row>
    <row r="1152" spans="1:8" s="18" customFormat="1" ht="15" customHeight="1">
      <c r="A1152" s="39">
        <v>3847</v>
      </c>
      <c r="B1152" s="26" t="s">
        <v>1053</v>
      </c>
      <c r="C1152" s="13" t="s">
        <v>909</v>
      </c>
      <c r="D1152" s="14"/>
      <c r="E1152" s="9">
        <v>54.4</v>
      </c>
      <c r="F1152" s="9">
        <f t="shared" si="38"/>
        <v>0</v>
      </c>
      <c r="G1152" s="13"/>
      <c r="H1152" s="14" t="str">
        <f>HYPERLINK("https://pulti.ua/dvb-t2-resivery/pult-dlja-trimax-tr-2015-hd-fta-pvr")</f>
        <v>https://pulti.ua/dvb-t2-resivery/pult-dlja-trimax-tr-2015-hd-fta-pvr</v>
      </c>
    </row>
    <row r="1153" spans="1:8" s="18" customFormat="1" ht="15" customHeight="1">
      <c r="A1153" s="11">
        <v>4138</v>
      </c>
      <c r="B1153" s="12" t="s">
        <v>1054</v>
      </c>
      <c r="C1153" s="13" t="s">
        <v>909</v>
      </c>
      <c r="D1153" s="14"/>
      <c r="E1153" s="9">
        <v>46.9</v>
      </c>
      <c r="F1153" s="9">
        <f t="shared" si="38"/>
        <v>0</v>
      </c>
      <c r="G1153" s="13"/>
      <c r="H1153" s="14" t="str">
        <f>HYPERLINK("https://pulti.ua/dvb-t2-resivery/pult-dlya-trimax-tr-2015-hd-fta-pvr")</f>
        <v>https://pulti.ua/dvb-t2-resivery/pult-dlya-trimax-tr-2015-hd-fta-pvr</v>
      </c>
    </row>
    <row r="1154" spans="1:8" s="18" customFormat="1" ht="15" customHeight="1">
      <c r="A1154" s="11">
        <v>2575</v>
      </c>
      <c r="B1154" s="12" t="s">
        <v>1055</v>
      </c>
      <c r="C1154" s="13" t="s">
        <v>905</v>
      </c>
      <c r="D1154" s="14"/>
      <c r="E1154" s="9">
        <v>58.1</v>
      </c>
      <c r="F1154" s="9">
        <f t="shared" si="38"/>
        <v>0</v>
      </c>
      <c r="G1154" s="13"/>
      <c r="H1154" s="14" t="str">
        <f>HYPERLINK("https://pulti.ua/tyunera/pult-dlja-trophy-ta-1001t")</f>
        <v>https://pulti.ua/tyunera/pult-dlja-trophy-ta-1001t</v>
      </c>
    </row>
    <row r="1155" spans="1:8" s="18" customFormat="1" ht="15" customHeight="1">
      <c r="A1155" s="11">
        <v>3901</v>
      </c>
      <c r="B1155" s="12" t="s">
        <v>1056</v>
      </c>
      <c r="C1155" s="13" t="s">
        <v>905</v>
      </c>
      <c r="D1155" s="14"/>
      <c r="E1155" s="9">
        <v>50.6</v>
      </c>
      <c r="F1155" s="9">
        <f t="shared" si="38"/>
        <v>0</v>
      </c>
      <c r="G1155" s="13"/>
      <c r="H1155" s="14" t="str">
        <f>HYPERLINK("https://pulti.ua/tyunera/pult-dlja-u2c-alternativa")</f>
        <v>https://pulti.ua/tyunera/pult-dlja-u2c-alternativa</v>
      </c>
    </row>
    <row r="1156" spans="1:8" s="18" customFormat="1" ht="15" customHeight="1">
      <c r="A1156" s="11">
        <v>4121</v>
      </c>
      <c r="B1156" s="12" t="s">
        <v>1057</v>
      </c>
      <c r="C1156" s="13" t="s">
        <v>905</v>
      </c>
      <c r="D1156" s="14"/>
      <c r="E1156" s="9">
        <v>43.1</v>
      </c>
      <c r="F1156" s="9">
        <f t="shared" si="38"/>
        <v>0</v>
      </c>
      <c r="G1156" s="13"/>
      <c r="H1156" s="14" t="str">
        <f>HYPERLINK("https://pulti.ua/tyunera/pult-dlya-u2c-b6-full-hd")</f>
        <v>https://pulti.ua/tyunera/pult-dlya-u2c-b6-full-hd</v>
      </c>
    </row>
    <row r="1157" spans="1:8" s="18" customFormat="1" ht="15" customHeight="1">
      <c r="A1157" s="11">
        <v>4122</v>
      </c>
      <c r="B1157" s="12" t="s">
        <v>1058</v>
      </c>
      <c r="C1157" s="13" t="s">
        <v>905</v>
      </c>
      <c r="D1157" s="14"/>
      <c r="E1157" s="9">
        <v>44.3</v>
      </c>
      <c r="F1157" s="9">
        <f t="shared" si="38"/>
        <v>0</v>
      </c>
      <c r="G1157" s="13"/>
      <c r="H1157" s="14" t="str">
        <f>HYPERLINK("https://pulti.ua/tyunera/pult-dlya-u2c-denys-h265")</f>
        <v>https://pulti.ua/tyunera/pult-dlya-u2c-denys-h265</v>
      </c>
    </row>
    <row r="1158" spans="1:8" s="18" customFormat="1" ht="15" customHeight="1">
      <c r="A1158" s="39">
        <v>4525</v>
      </c>
      <c r="B1158" s="26" t="s">
        <v>1059</v>
      </c>
      <c r="C1158" s="13" t="s">
        <v>905</v>
      </c>
      <c r="D1158" s="14"/>
      <c r="E1158" s="9">
        <v>54.4</v>
      </c>
      <c r="F1158" s="9">
        <f t="shared" si="38"/>
        <v>0</v>
      </c>
      <c r="G1158" s="13"/>
      <c r="H1158" s="14" t="str">
        <f>HYPERLINK("https://pulti.ua/tyunera/pult-dlja-u2c-denys-h265")</f>
        <v>https://pulti.ua/tyunera/pult-dlja-u2c-denys-h265</v>
      </c>
    </row>
    <row r="1159" spans="1:8" s="18" customFormat="1" ht="15" customHeight="1">
      <c r="A1159" s="11">
        <v>3601</v>
      </c>
      <c r="B1159" s="12" t="s">
        <v>1060</v>
      </c>
      <c r="C1159" s="13" t="s">
        <v>905</v>
      </c>
      <c r="D1159" s="14"/>
      <c r="E1159" s="9">
        <v>48.8</v>
      </c>
      <c r="F1159" s="9">
        <f t="shared" si="38"/>
        <v>0</v>
      </c>
      <c r="G1159" s="13"/>
      <c r="H1159" s="14" t="str">
        <f>HYPERLINK("https://pulti.ua/tyunera/pult-dlja-u2c-splus-maxi-mini-kt1045xhyi")</f>
        <v>https://pulti.ua/tyunera/pult-dlja-u2c-splus-maxi-mini-kt1045xhyi</v>
      </c>
    </row>
    <row r="1160" spans="1:8" s="18" customFormat="1" ht="15" customHeight="1">
      <c r="A1160" s="39">
        <v>3874</v>
      </c>
      <c r="B1160" s="26" t="s">
        <v>1061</v>
      </c>
      <c r="C1160" s="13" t="s">
        <v>909</v>
      </c>
      <c r="D1160" s="14"/>
      <c r="E1160" s="9">
        <v>45</v>
      </c>
      <c r="F1160" s="9">
        <f t="shared" si="38"/>
        <v>0</v>
      </c>
      <c r="G1160" s="13"/>
      <c r="H1160" s="14" t="str">
        <f>HYPERLINK("https://pulti.ua/dvb-t2-resivery/pult-dlja-u2c-t2-hd-plus")</f>
        <v>https://pulti.ua/dvb-t2-resivery/pult-dlja-u2c-t2-hd-plus</v>
      </c>
    </row>
    <row r="1161" spans="1:8" s="18" customFormat="1" ht="15" customHeight="1">
      <c r="A1161" s="11">
        <v>3911</v>
      </c>
      <c r="B1161" s="12" t="s">
        <v>1062</v>
      </c>
      <c r="C1161" s="13" t="s">
        <v>909</v>
      </c>
      <c r="D1161" s="14"/>
      <c r="E1161" s="9">
        <v>43.1</v>
      </c>
      <c r="F1161" s="9">
        <f t="shared" si="38"/>
        <v>0</v>
      </c>
      <c r="G1161" s="13"/>
      <c r="H1161" s="14" t="str">
        <f>HYPERLINK("https://pulti.ua/tyunera/pult-dlja-t2-new-u2c-t2-hd-plus")</f>
        <v>https://pulti.ua/tyunera/pult-dlja-t2-new-u2c-t2-hd-plus</v>
      </c>
    </row>
    <row r="1162" spans="1:8" s="18" customFormat="1" ht="15" customHeight="1">
      <c r="A1162" s="11">
        <v>4589</v>
      </c>
      <c r="B1162" s="12" t="s">
        <v>1428</v>
      </c>
      <c r="C1162" s="13" t="s">
        <v>905</v>
      </c>
      <c r="D1162" s="14"/>
      <c r="E1162" s="9">
        <v>90</v>
      </c>
      <c r="F1162" s="9">
        <f t="shared" si="38"/>
        <v>0</v>
      </c>
      <c r="G1162" s="13"/>
      <c r="H1162" s="14" t="str">
        <f>HYPERLINK("https://pulti.ua/tyunera/pult-dlya-uclan-denys-h-265-premium")</f>
        <v>https://pulti.ua/tyunera/pult-dlya-uclan-denys-h-265-premium</v>
      </c>
    </row>
    <row r="1163" spans="1:8" s="18" customFormat="1" ht="15" customHeight="1">
      <c r="A1163" s="39">
        <v>4584</v>
      </c>
      <c r="B1163" s="26" t="s">
        <v>1063</v>
      </c>
      <c r="C1163" s="13" t="s">
        <v>909</v>
      </c>
      <c r="D1163" s="14"/>
      <c r="E1163" s="9">
        <v>50.6</v>
      </c>
      <c r="F1163" s="9">
        <f t="shared" si="38"/>
        <v>0</v>
      </c>
      <c r="G1163" s="13"/>
      <c r="H1163" s="14" t="str">
        <f>HYPERLINK("https://pulti.ua/dvb-t2-resivery/pult-dlya-uclan-t2-hd-se")</f>
        <v>https://pulti.ua/dvb-t2-resivery/pult-dlya-uclan-t2-hd-se</v>
      </c>
    </row>
    <row r="1164" spans="1:8" s="18" customFormat="1" ht="15" customHeight="1">
      <c r="A1164" s="11">
        <v>4590</v>
      </c>
      <c r="B1164" s="12" t="s">
        <v>1064</v>
      </c>
      <c r="C1164" s="13" t="s">
        <v>905</v>
      </c>
      <c r="D1164" s="14"/>
      <c r="E1164" s="9">
        <v>82.5</v>
      </c>
      <c r="F1164" s="9">
        <f t="shared" si="38"/>
        <v>0</v>
      </c>
      <c r="G1164" s="13"/>
      <c r="H1164" s="14" t="str">
        <f>HYPERLINK("https://pulti.ua/tyunera/pult-dlya-uclan-ustym-4k-pro")</f>
        <v>https://pulti.ua/tyunera/pult-dlya-uclan-ustym-4k-pro</v>
      </c>
    </row>
    <row r="1165" spans="1:8" s="18" customFormat="1" ht="15" customHeight="1">
      <c r="A1165" s="11">
        <v>4534</v>
      </c>
      <c r="B1165" s="12" t="s">
        <v>1065</v>
      </c>
      <c r="C1165" s="13" t="s">
        <v>905</v>
      </c>
      <c r="D1165" s="14"/>
      <c r="E1165" s="9">
        <v>52.9</v>
      </c>
      <c r="F1165" s="9">
        <f t="shared" si="38"/>
        <v>0</v>
      </c>
      <c r="G1165" s="13"/>
      <c r="H1165" s="14" t="str">
        <f>HYPERLINK("https://pulti.ua/tyunera/pult-dlya-romsat-s2-tv")</f>
        <v>https://pulti.ua/tyunera/pult-dlya-romsat-s2-tv</v>
      </c>
    </row>
    <row r="1166" spans="1:8" s="18" customFormat="1" ht="15" customHeight="1">
      <c r="A1166" s="11">
        <v>3996</v>
      </c>
      <c r="B1166" s="12" t="s">
        <v>1066</v>
      </c>
      <c r="C1166" s="13" t="s">
        <v>909</v>
      </c>
      <c r="D1166" s="14"/>
      <c r="E1166" s="9">
        <v>48.8</v>
      </c>
      <c r="F1166" s="9">
        <f t="shared" si="38"/>
        <v>0</v>
      </c>
      <c r="G1166" s="13"/>
      <c r="H1166" s="14" t="str">
        <f>HYPERLINK("https://pulti.ua/dvb-t2-resivery/pult-dlja-winquest--5555m")</f>
        <v>https://pulti.ua/dvb-t2-resivery/pult-dlja-winquest--5555m</v>
      </c>
    </row>
    <row r="1167" spans="1:8" s="18" customFormat="1" ht="15" customHeight="1">
      <c r="A1167" s="39">
        <v>3852</v>
      </c>
      <c r="B1167" s="26" t="s">
        <v>1067</v>
      </c>
      <c r="C1167" s="13" t="s">
        <v>909</v>
      </c>
      <c r="D1167" s="14"/>
      <c r="E1167" s="9">
        <v>45</v>
      </c>
      <c r="F1167" s="9">
        <f t="shared" si="38"/>
        <v>0</v>
      </c>
      <c r="G1167" s="13"/>
      <c r="H1167" s="14" t="str">
        <f>HYPERLINK("https://pulti.ua/dvb-t2-resivery/pult-dlja-winquest-5555m")</f>
        <v>https://pulti.ua/dvb-t2-resivery/pult-dlja-winquest-5555m</v>
      </c>
    </row>
    <row r="1168" spans="1:8" s="18" customFormat="1" ht="15" customHeight="1">
      <c r="A1168" s="11">
        <v>3976</v>
      </c>
      <c r="B1168" s="12" t="s">
        <v>1068</v>
      </c>
      <c r="C1168" s="13" t="s">
        <v>905</v>
      </c>
      <c r="D1168" s="15" t="s">
        <v>1314</v>
      </c>
      <c r="E1168" s="9">
        <v>48.8</v>
      </c>
      <c r="F1168" s="9"/>
      <c r="G1168" s="13"/>
      <c r="H1168" s="14" t="str">
        <f>HYPERLINK("https://pulti.ua/tyunera/pult-dlja-win-quest-s-2016hd")</f>
        <v>https://pulti.ua/tyunera/pult-dlja-win-quest-s-2016hd</v>
      </c>
    </row>
    <row r="1169" spans="1:8" s="18" customFormat="1" ht="15" customHeight="1">
      <c r="A1169" s="11">
        <v>2577</v>
      </c>
      <c r="B1169" s="12" t="s">
        <v>1069</v>
      </c>
      <c r="C1169" s="13" t="s">
        <v>905</v>
      </c>
      <c r="D1169" s="14"/>
      <c r="E1169" s="9">
        <v>67.5</v>
      </c>
      <c r="F1169" s="9">
        <f aca="true" t="shared" si="39" ref="F1169:F1191">D1169*E1169</f>
        <v>0</v>
      </c>
      <c r="G1169" s="13"/>
      <c r="H1169" s="14" t="str">
        <f>HYPERLINK("https://pulti.ua/tyunera/pult-dlja-win-quest-wq-001ug-noc")</f>
        <v>https://pulti.ua/tyunera/pult-dlja-win-quest-wq-001ug-noc</v>
      </c>
    </row>
    <row r="1170" spans="1:8" s="18" customFormat="1" ht="15" customHeight="1">
      <c r="A1170" s="11">
        <v>2578</v>
      </c>
      <c r="B1170" s="12" t="s">
        <v>1070</v>
      </c>
      <c r="C1170" s="13" t="s">
        <v>905</v>
      </c>
      <c r="D1170" s="14"/>
      <c r="E1170" s="9">
        <v>37.5</v>
      </c>
      <c r="F1170" s="9">
        <f t="shared" si="39"/>
        <v>0</v>
      </c>
      <c r="G1170" s="13"/>
      <c r="H1170" s="14" t="str">
        <f>HYPERLINK("https://pulti.ua/tyunera/pult-dlja-win-quest-wq-2010")</f>
        <v>https://pulti.ua/tyunera/pult-dlja-win-quest-wq-2010</v>
      </c>
    </row>
    <row r="1171" spans="1:8" s="18" customFormat="1" ht="15" customHeight="1">
      <c r="A1171" s="11">
        <v>4401</v>
      </c>
      <c r="B1171" s="12" t="s">
        <v>1429</v>
      </c>
      <c r="C1171" s="13" t="s">
        <v>909</v>
      </c>
      <c r="D1171" s="14"/>
      <c r="E1171" s="9">
        <v>52.5</v>
      </c>
      <c r="F1171" s="9">
        <f t="shared" si="39"/>
        <v>0</v>
      </c>
      <c r="G1171" s="13"/>
      <c r="H1171" s="14" t="str">
        <f>HYPERLINK("https://pulti.ua/dvb-t2-resivery/pult-dlya-world-vision-foros-combo-t2-s2")</f>
        <v>https://pulti.ua/dvb-t2-resivery/pult-dlya-world-vision-foros-combo-t2-s2</v>
      </c>
    </row>
    <row r="1172" spans="1:8" s="18" customFormat="1" ht="15" customHeight="1">
      <c r="A1172" s="11">
        <v>4022</v>
      </c>
      <c r="B1172" s="12" t="s">
        <v>1430</v>
      </c>
      <c r="C1172" s="13" t="s">
        <v>909</v>
      </c>
      <c r="D1172" s="14"/>
      <c r="E1172" s="9">
        <v>56.3</v>
      </c>
      <c r="F1172" s="9">
        <f t="shared" si="39"/>
        <v>0</v>
      </c>
      <c r="G1172" s="13"/>
      <c r="H1172" s="14" t="str">
        <f>HYPERLINK("https://pulti.ua/tyunera/pult-dlja-world-vision-premium-t2-c")</f>
        <v>https://pulti.ua/tyunera/pult-dlja-world-vision-premium-t2-c</v>
      </c>
    </row>
    <row r="1173" spans="1:8" s="18" customFormat="1" ht="15" customHeight="1">
      <c r="A1173" s="11">
        <v>3685</v>
      </c>
      <c r="B1173" s="12" t="s">
        <v>1071</v>
      </c>
      <c r="C1173" s="13" t="s">
        <v>909</v>
      </c>
      <c r="D1173" s="14"/>
      <c r="E1173" s="9">
        <v>43.9</v>
      </c>
      <c r="F1173" s="9">
        <f t="shared" si="39"/>
        <v>0</v>
      </c>
      <c r="G1173" s="13"/>
      <c r="H1173" s="14" t="str">
        <f>HYPERLINK("https://pulti.ua/dvb-t2-resivery/pult-dlja-world-vision-t34-dvb-t2-ic")</f>
        <v>https://pulti.ua/dvb-t2-resivery/pult-dlja-world-vision-t34-dvb-t2-ic</v>
      </c>
    </row>
    <row r="1174" spans="1:8" s="18" customFormat="1" ht="15" customHeight="1">
      <c r="A1174" s="11">
        <v>4136</v>
      </c>
      <c r="B1174" s="12" t="s">
        <v>1072</v>
      </c>
      <c r="C1174" s="13" t="s">
        <v>909</v>
      </c>
      <c r="D1174" s="14"/>
      <c r="E1174" s="9">
        <v>46.5</v>
      </c>
      <c r="F1174" s="9">
        <f t="shared" si="39"/>
        <v>0</v>
      </c>
      <c r="G1174" s="13"/>
      <c r="H1174" s="14" t="str">
        <f>HYPERLINK("https://pulti.ua/dvb-t2-resivery/pult-dlya-world-vision-t37")</f>
        <v>https://pulti.ua/dvb-t2-resivery/pult-dlya-world-vision-t37</v>
      </c>
    </row>
    <row r="1175" spans="1:8" s="18" customFormat="1" ht="15" customHeight="1">
      <c r="A1175" s="39">
        <v>3783</v>
      </c>
      <c r="B1175" s="26" t="s">
        <v>1073</v>
      </c>
      <c r="C1175" s="13" t="s">
        <v>909</v>
      </c>
      <c r="D1175" s="14"/>
      <c r="E1175" s="9">
        <v>56.3</v>
      </c>
      <c r="F1175" s="9">
        <f t="shared" si="39"/>
        <v>0</v>
      </c>
      <c r="G1175" s="13"/>
      <c r="H1175" s="14" t="str">
        <f>HYPERLINK("https://pulti.ua/dvb-t2-resivery/pult-dlja-world-vision-t37-ic")</f>
        <v>https://pulti.ua/dvb-t2-resivery/pult-dlja-world-vision-t37-ic</v>
      </c>
    </row>
    <row r="1176" spans="1:8" s="18" customFormat="1" ht="15" customHeight="1">
      <c r="A1176" s="39">
        <v>3815</v>
      </c>
      <c r="B1176" s="26" t="s">
        <v>1074</v>
      </c>
      <c r="C1176" s="13" t="s">
        <v>909</v>
      </c>
      <c r="D1176" s="14"/>
      <c r="E1176" s="9">
        <v>54.4</v>
      </c>
      <c r="F1176" s="9">
        <f t="shared" si="39"/>
        <v>0</v>
      </c>
      <c r="G1176" s="13"/>
      <c r="H1176" s="14" t="str">
        <f>HYPERLINK("https://pulti.ua/dvb-t2-resivery/pult-dlja-world-vision-t38")</f>
        <v>https://pulti.ua/dvb-t2-resivery/pult-dlja-world-vision-t38</v>
      </c>
    </row>
    <row r="1177" spans="1:8" s="18" customFormat="1" ht="15" customHeight="1">
      <c r="A1177" s="11">
        <v>4137</v>
      </c>
      <c r="B1177" s="12" t="s">
        <v>1431</v>
      </c>
      <c r="C1177" s="13" t="s">
        <v>909</v>
      </c>
      <c r="D1177" s="14"/>
      <c r="E1177" s="9">
        <v>46.1</v>
      </c>
      <c r="F1177" s="9">
        <f t="shared" si="39"/>
        <v>0</v>
      </c>
      <c r="G1177" s="13"/>
      <c r="H1177" s="14" t="str">
        <f>HYPERLINK("https://pulti.ua/dvb-t2-resivery/pult-dlya-world-vision-t38")</f>
        <v>https://pulti.ua/dvb-t2-resivery/pult-dlya-world-vision-t38</v>
      </c>
    </row>
    <row r="1178" spans="1:8" s="18" customFormat="1" ht="15" customHeight="1">
      <c r="A1178" s="39">
        <v>3686</v>
      </c>
      <c r="B1178" s="26" t="s">
        <v>1075</v>
      </c>
      <c r="C1178" s="13" t="s">
        <v>909</v>
      </c>
      <c r="D1178" s="14"/>
      <c r="E1178" s="9">
        <v>35.6</v>
      </c>
      <c r="F1178" s="9">
        <f t="shared" si="39"/>
        <v>0</v>
      </c>
      <c r="G1178" s="13"/>
      <c r="H1178" s="14" t="str">
        <f>HYPERLINK("https://pulti.ua/dvb-t2-resivery/pult-dlja-world-vision-t43-dvb-t2-ic")</f>
        <v>https://pulti.ua/dvb-t2-resivery/pult-dlja-world-vision-t43-dvb-t2-ic</v>
      </c>
    </row>
    <row r="1179" spans="1:8" s="18" customFormat="1" ht="15" customHeight="1">
      <c r="A1179" s="11">
        <v>4001</v>
      </c>
      <c r="B1179" s="12" t="s">
        <v>1076</v>
      </c>
      <c r="C1179" s="13" t="s">
        <v>909</v>
      </c>
      <c r="D1179" s="14"/>
      <c r="E1179" s="9">
        <v>45</v>
      </c>
      <c r="F1179" s="9">
        <f t="shared" si="39"/>
        <v>0</v>
      </c>
      <c r="G1179" s="13"/>
      <c r="H1179" s="14" t="str">
        <f>HYPERLINK("https://pulti.ua/dvb-t2-resivery/pult-dlja-world-vision-t54")</f>
        <v>https://pulti.ua/dvb-t2-resivery/pult-dlja-world-vision-t54</v>
      </c>
    </row>
    <row r="1180" spans="1:8" s="18" customFormat="1" ht="15" customHeight="1">
      <c r="A1180" s="11">
        <v>4376</v>
      </c>
      <c r="B1180" s="12" t="s">
        <v>1432</v>
      </c>
      <c r="C1180" s="13" t="s">
        <v>909</v>
      </c>
      <c r="D1180" s="14"/>
      <c r="E1180" s="9">
        <v>46.9</v>
      </c>
      <c r="F1180" s="9">
        <f t="shared" si="39"/>
        <v>0</v>
      </c>
      <c r="G1180" s="13"/>
      <c r="H1180" s="14" t="str">
        <f>HYPERLINK("https://pulti.ua/dvb-t2-resivery/pult-dlya-world-vision-t55")</f>
        <v>https://pulti.ua/dvb-t2-resivery/pult-dlya-world-vision-t55</v>
      </c>
    </row>
    <row r="1181" spans="1:8" s="18" customFormat="1" ht="15" customHeight="1">
      <c r="A1181" s="11">
        <v>4292</v>
      </c>
      <c r="B1181" s="12" t="s">
        <v>1077</v>
      </c>
      <c r="C1181" s="13" t="s">
        <v>909</v>
      </c>
      <c r="D1181" s="14"/>
      <c r="E1181" s="9">
        <v>46.9</v>
      </c>
      <c r="F1181" s="9">
        <f t="shared" si="39"/>
        <v>0</v>
      </c>
      <c r="G1181" s="13"/>
      <c r="H1181" s="14" t="str">
        <f>HYPERLINK("https://pulti.ua/dvb-t2-resivery/pult-dlya-world-vision-t56")</f>
        <v>https://pulti.ua/dvb-t2-resivery/pult-dlya-world-vision-t56</v>
      </c>
    </row>
    <row r="1182" spans="1:8" s="18" customFormat="1" ht="15" customHeight="1">
      <c r="A1182" s="39">
        <v>3876</v>
      </c>
      <c r="B1182" s="26" t="s">
        <v>1078</v>
      </c>
      <c r="C1182" s="13" t="s">
        <v>909</v>
      </c>
      <c r="D1182" s="14"/>
      <c r="E1182" s="9">
        <v>48.8</v>
      </c>
      <c r="F1182" s="9">
        <f t="shared" si="39"/>
        <v>0</v>
      </c>
      <c r="G1182" s="13"/>
      <c r="H1182" s="14" t="str">
        <f>HYPERLINK("https://pulti.ua/dvb-t2-resivery/pult-dlja-world-vision-t56")</f>
        <v>https://pulti.ua/dvb-t2-resivery/pult-dlja-world-vision-t56</v>
      </c>
    </row>
    <row r="1183" spans="1:8" s="18" customFormat="1" ht="15" customHeight="1">
      <c r="A1183" s="11">
        <v>4190</v>
      </c>
      <c r="B1183" s="12" t="s">
        <v>1079</v>
      </c>
      <c r="C1183" s="13" t="s">
        <v>909</v>
      </c>
      <c r="D1183" s="14"/>
      <c r="E1183" s="9">
        <v>48.8</v>
      </c>
      <c r="F1183" s="9">
        <f t="shared" si="39"/>
        <v>0</v>
      </c>
      <c r="G1183" s="13"/>
      <c r="H1183" s="14" t="str">
        <f>HYPERLINK("https://pulti.ua/dvb-t2-resivery/pult-dlya-world-vision-t62")</f>
        <v>https://pulti.ua/dvb-t2-resivery/pult-dlya-world-vision-t62</v>
      </c>
    </row>
    <row r="1184" spans="1:8" s="18" customFormat="1" ht="15" customHeight="1">
      <c r="A1184" s="39">
        <v>4444</v>
      </c>
      <c r="B1184" s="26" t="s">
        <v>1080</v>
      </c>
      <c r="C1184" s="13" t="s">
        <v>909</v>
      </c>
      <c r="D1184" s="14"/>
      <c r="E1184" s="9">
        <v>54.4</v>
      </c>
      <c r="F1184" s="9">
        <f t="shared" si="39"/>
        <v>0</v>
      </c>
      <c r="G1184" s="13"/>
      <c r="H1184" s="14" t="str">
        <f>HYPERLINK("https://pulti.ua/dvb-t2-resivery/pult-dlya-world-vision-t62-hq")</f>
        <v>https://pulti.ua/dvb-t2-resivery/pult-dlya-world-vision-t62-hq</v>
      </c>
    </row>
    <row r="1185" spans="1:8" s="18" customFormat="1" ht="15" customHeight="1">
      <c r="A1185" s="39">
        <v>4407</v>
      </c>
      <c r="B1185" s="26" t="s">
        <v>1433</v>
      </c>
      <c r="C1185" s="13" t="s">
        <v>909</v>
      </c>
      <c r="D1185" s="14"/>
      <c r="E1185" s="9">
        <v>60</v>
      </c>
      <c r="F1185" s="9">
        <f t="shared" si="39"/>
        <v>0</v>
      </c>
      <c r="G1185" s="13"/>
      <c r="H1185" s="14" t="str">
        <f>HYPERLINK("https://pulti.ua/dvb-t2-resivery/pult-dlya-world-vision-t62n")</f>
        <v>https://pulti.ua/dvb-t2-resivery/pult-dlya-world-vision-t62n</v>
      </c>
    </row>
    <row r="1186" spans="1:8" s="18" customFormat="1" ht="15" customHeight="1">
      <c r="A1186" s="11">
        <v>4535</v>
      </c>
      <c r="B1186" s="12" t="s">
        <v>1434</v>
      </c>
      <c r="C1186" s="13" t="s">
        <v>905</v>
      </c>
      <c r="D1186" s="14"/>
      <c r="E1186" s="9">
        <v>52.9</v>
      </c>
      <c r="F1186" s="9">
        <f t="shared" si="39"/>
        <v>0</v>
      </c>
      <c r="G1186" s="13"/>
      <c r="H1186" s="14" t="str">
        <f>HYPERLINK("https://pulti.ua/tyunera/pult-dlya-xtra-tv-box-romsat-sehs-1723-skardin")</f>
        <v>https://pulti.ua/tyunera/pult-dlya-xtra-tv-box-romsat-sehs-1723-skardin</v>
      </c>
    </row>
    <row r="1187" spans="1:8" s="18" customFormat="1" ht="15" customHeight="1">
      <c r="A1187" s="39">
        <v>3288</v>
      </c>
      <c r="B1187" s="26" t="s">
        <v>1081</v>
      </c>
      <c r="C1187" s="13" t="s">
        <v>965</v>
      </c>
      <c r="D1187" s="14"/>
      <c r="E1187" s="9">
        <v>120</v>
      </c>
      <c r="F1187" s="9">
        <f t="shared" si="39"/>
        <v>0</v>
      </c>
      <c r="G1187" s="13"/>
      <c r="H1187" s="14" t="str">
        <f>HYPERLINK("https://pulti.ua/mediapleery/pult-dlja-zala-iptv-pristavka")</f>
        <v>https://pulti.ua/mediapleery/pult-dlja-zala-iptv-pristavka</v>
      </c>
    </row>
    <row r="1188" spans="1:8" s="18" customFormat="1" ht="15" customHeight="1">
      <c r="A1188" s="39">
        <v>3975</v>
      </c>
      <c r="B1188" s="26" t="s">
        <v>1082</v>
      </c>
      <c r="C1188" s="13" t="s">
        <v>905</v>
      </c>
      <c r="D1188" s="14"/>
      <c r="E1188" s="9">
        <v>90</v>
      </c>
      <c r="F1188" s="9">
        <f t="shared" si="39"/>
        <v>0</v>
      </c>
      <c r="G1188" s="13"/>
      <c r="H1188" s="14" t="str">
        <f>HYPERLINK("https://pulti.ua/tyunera/pult-dlja-entoni-camai-volja-smart-hd-tv")</f>
        <v>https://pulti.ua/tyunera/pult-dlja-entoni-camai-volja-smart-hd-tv</v>
      </c>
    </row>
    <row r="1189" spans="1:8" s="18" customFormat="1" ht="15" customHeight="1">
      <c r="A1189" s="39">
        <v>3726</v>
      </c>
      <c r="B1189" s="26" t="s">
        <v>1083</v>
      </c>
      <c r="C1189" s="13" t="s">
        <v>905</v>
      </c>
      <c r="D1189" s="14"/>
      <c r="E1189" s="9">
        <v>45</v>
      </c>
      <c r="F1189" s="9">
        <f t="shared" si="39"/>
        <v>0</v>
      </c>
      <c r="G1189" s="13"/>
      <c r="H1189" s="14" t="str">
        <f>HYPERLINK("https://pulti.ua/volja-tv/pult-dlja-access-dcd-3011-volja-tv-ic")</f>
        <v>https://pulti.ua/volja-tv/pult-dlja-access-dcd-3011-volja-tv-ic</v>
      </c>
    </row>
    <row r="1190" spans="1:8" s="18" customFormat="1" ht="15" customHeight="1">
      <c r="A1190" s="39">
        <v>4419</v>
      </c>
      <c r="B1190" s="26" t="s">
        <v>1084</v>
      </c>
      <c r="C1190" s="13" t="s">
        <v>965</v>
      </c>
      <c r="D1190" s="14"/>
      <c r="E1190" s="9">
        <v>51.4</v>
      </c>
      <c r="F1190" s="9">
        <f t="shared" si="39"/>
        <v>0</v>
      </c>
      <c r="G1190" s="13"/>
      <c r="H1190" s="14" t="str">
        <f>HYPERLINK("https://pulti.ua/volja-tv/pult-dlya-volya-tv-kaon-co3510")</f>
        <v>https://pulti.ua/volja-tv/pult-dlya-volya-tv-kaon-co3510</v>
      </c>
    </row>
    <row r="1191" spans="1:8" s="18" customFormat="1" ht="15" customHeight="1">
      <c r="A1191" s="39">
        <v>3947</v>
      </c>
      <c r="B1191" s="26" t="s">
        <v>1085</v>
      </c>
      <c r="C1191" s="13" t="s">
        <v>965</v>
      </c>
      <c r="D1191" s="14"/>
      <c r="E1191" s="9">
        <v>112.5</v>
      </c>
      <c r="F1191" s="9">
        <f t="shared" si="39"/>
        <v>0</v>
      </c>
      <c r="G1191" s="13"/>
      <c r="H1191" s="14" t="str">
        <f>HYPERLINK("https://pulti.ua/mediapleery/pult-dlja-mts-ds300a")</f>
        <v>https://pulti.ua/mediapleery/pult-dlja-mts-ds300a</v>
      </c>
    </row>
    <row r="1192" spans="1:8" s="18" customFormat="1" ht="15" customHeight="1">
      <c r="A1192" s="14"/>
      <c r="B1192" s="16" t="s">
        <v>1086</v>
      </c>
      <c r="C1192" s="14"/>
      <c r="D1192" s="14"/>
      <c r="E1192" s="9"/>
      <c r="F1192" s="9"/>
      <c r="G1192" s="13"/>
      <c r="H1192" s="14"/>
    </row>
    <row r="1193" spans="1:8" s="18" customFormat="1" ht="15" customHeight="1">
      <c r="A1193" s="11">
        <v>2119</v>
      </c>
      <c r="B1193" s="12" t="s">
        <v>1087</v>
      </c>
      <c r="C1193" s="13" t="s">
        <v>1086</v>
      </c>
      <c r="D1193" s="14"/>
      <c r="E1193" s="9">
        <v>161.3</v>
      </c>
      <c r="F1193" s="9">
        <f aca="true" t="shared" si="40" ref="F1193:F1256">D1193*E1193</f>
        <v>0</v>
      </c>
      <c r="G1193" s="13"/>
      <c r="H1193" s="14" t="str">
        <f>HYPERLINK("https://pulti.ua/dvd-blueray/pult-dlja-akai-dv-p4745kds")</f>
        <v>https://pulti.ua/dvd-blueray/pult-dlja-akai-dv-p4745kds</v>
      </c>
    </row>
    <row r="1194" spans="1:8" s="18" customFormat="1" ht="15" customHeight="1">
      <c r="A1194" s="11">
        <v>2120</v>
      </c>
      <c r="B1194" s="12" t="s">
        <v>1088</v>
      </c>
      <c r="C1194" s="13" t="s">
        <v>1086</v>
      </c>
      <c r="D1194" s="14"/>
      <c r="E1194" s="9">
        <v>101.3</v>
      </c>
      <c r="F1194" s="9">
        <f t="shared" si="40"/>
        <v>0</v>
      </c>
      <c r="G1194" s="13"/>
      <c r="H1194" s="14" t="str">
        <f>HYPERLINK("https://pulti.ua/dvd-blueray/pult-dlja-akai-dv-p4797kdmc")</f>
        <v>https://pulti.ua/dvd-blueray/pult-dlja-akai-dv-p4797kdmc</v>
      </c>
    </row>
    <row r="1195" spans="1:8" s="18" customFormat="1" ht="15" customHeight="1">
      <c r="A1195" s="11">
        <v>2122</v>
      </c>
      <c r="B1195" s="12" t="s">
        <v>1089</v>
      </c>
      <c r="C1195" s="13" t="s">
        <v>1086</v>
      </c>
      <c r="D1195" s="14"/>
      <c r="E1195" s="9">
        <v>120</v>
      </c>
      <c r="F1195" s="9">
        <f t="shared" si="40"/>
        <v>0</v>
      </c>
      <c r="G1195" s="13"/>
      <c r="H1195" s="14" t="str">
        <f>HYPERLINK("https://pulti.ua/dvd-blueray/pult-dlja-akira-jx-2002")</f>
        <v>https://pulti.ua/dvd-blueray/pult-dlja-akira-jx-2002</v>
      </c>
    </row>
    <row r="1196" spans="1:8" s="18" customFormat="1" ht="15" customHeight="1">
      <c r="A1196" s="11">
        <v>2123</v>
      </c>
      <c r="B1196" s="12" t="s">
        <v>1090</v>
      </c>
      <c r="C1196" s="13" t="s">
        <v>1086</v>
      </c>
      <c r="D1196" s="14"/>
      <c r="E1196" s="9">
        <v>120</v>
      </c>
      <c r="F1196" s="9">
        <f t="shared" si="40"/>
        <v>0</v>
      </c>
      <c r="G1196" s="13"/>
      <c r="H1196" s="14" t="str">
        <f>HYPERLINK("https://pulti.ua/dvd-blueray/pult-dlja-akira-kf-8000a")</f>
        <v>https://pulti.ua/dvd-blueray/pult-dlja-akira-kf-8000a</v>
      </c>
    </row>
    <row r="1197" spans="1:8" s="18" customFormat="1" ht="15" customHeight="1">
      <c r="A1197" s="11">
        <v>2126</v>
      </c>
      <c r="B1197" s="12" t="s">
        <v>1091</v>
      </c>
      <c r="C1197" s="13" t="s">
        <v>1086</v>
      </c>
      <c r="D1197" s="14"/>
      <c r="E1197" s="9">
        <v>82.5</v>
      </c>
      <c r="F1197" s="9">
        <f t="shared" si="40"/>
        <v>0</v>
      </c>
      <c r="G1197" s="13"/>
      <c r="H1197" s="14" t="str">
        <f>HYPERLINK("https://pulti.ua/dvd-blueray/pult-dlja-alpari-td-886")</f>
        <v>https://pulti.ua/dvd-blueray/pult-dlja-alpari-td-886</v>
      </c>
    </row>
    <row r="1198" spans="1:8" s="18" customFormat="1" ht="15" customHeight="1">
      <c r="A1198" s="11">
        <v>2128</v>
      </c>
      <c r="B1198" s="12" t="s">
        <v>1092</v>
      </c>
      <c r="C1198" s="13" t="s">
        <v>1086</v>
      </c>
      <c r="D1198" s="14"/>
      <c r="E1198" s="9">
        <v>82.5</v>
      </c>
      <c r="F1198" s="9">
        <f t="shared" si="40"/>
        <v>0</v>
      </c>
      <c r="G1198" s="13"/>
      <c r="H1198" s="14" t="str">
        <f>HYPERLINK("https://pulti.ua/dvd-blueray/pult-dlja-atlantic-at-4001")</f>
        <v>https://pulti.ua/dvd-blueray/pult-dlja-atlantic-at-4001</v>
      </c>
    </row>
    <row r="1199" spans="1:8" s="18" customFormat="1" ht="15" customHeight="1">
      <c r="A1199" s="11">
        <v>2922</v>
      </c>
      <c r="B1199" s="12" t="s">
        <v>1093</v>
      </c>
      <c r="C1199" s="13" t="s">
        <v>1086</v>
      </c>
      <c r="D1199" s="14"/>
      <c r="E1199" s="9">
        <v>71.3</v>
      </c>
      <c r="F1199" s="9">
        <f t="shared" si="40"/>
        <v>0</v>
      </c>
      <c r="G1199" s="13"/>
      <c r="H1199" s="14" t="str">
        <f>HYPERLINK("https://pulti.ua/domashnie-kinoteatry/pult-dlja-avto-dvx-8600mpy-dvd8")</f>
        <v>https://pulti.ua/domashnie-kinoteatry/pult-dlja-avto-dvx-8600mpy-dvd8</v>
      </c>
    </row>
    <row r="1200" spans="1:8" s="18" customFormat="1" ht="15" customHeight="1">
      <c r="A1200" s="11">
        <v>2132</v>
      </c>
      <c r="B1200" s="12" t="s">
        <v>1094</v>
      </c>
      <c r="C1200" s="13" t="s">
        <v>1095</v>
      </c>
      <c r="D1200" s="14"/>
      <c r="E1200" s="9">
        <v>105</v>
      </c>
      <c r="F1200" s="9">
        <f t="shared" si="40"/>
        <v>0</v>
      </c>
      <c r="G1200" s="13"/>
      <c r="H1200" s="14" t="str">
        <f>HYPERLINK("https://pulti.ua/domashnie-kinoteatry/pult-dlja-bbk-dw9915s-noc")</f>
        <v>https://pulti.ua/domashnie-kinoteatry/pult-dlja-bbk-dw9915s-noc</v>
      </c>
    </row>
    <row r="1201" spans="1:8" s="18" customFormat="1" ht="15" customHeight="1">
      <c r="A1201" s="11">
        <v>2152</v>
      </c>
      <c r="B1201" s="12" t="s">
        <v>1096</v>
      </c>
      <c r="C1201" s="13" t="s">
        <v>1086</v>
      </c>
      <c r="D1201" s="14"/>
      <c r="E1201" s="9">
        <v>112.5</v>
      </c>
      <c r="F1201" s="9">
        <f t="shared" si="40"/>
        <v>0</v>
      </c>
      <c r="G1201" s="13"/>
      <c r="H1201" s="14" t="str">
        <f>HYPERLINK("https://pulti.ua/dvd-blueray/pult-dlja-bbk-rc026-11r")</f>
        <v>https://pulti.ua/dvd-blueray/pult-dlja-bbk-rc026-11r</v>
      </c>
    </row>
    <row r="1202" spans="1:8" s="18" customFormat="1" ht="15" customHeight="1">
      <c r="A1202" s="39">
        <v>3131</v>
      </c>
      <c r="B1202" s="26" t="s">
        <v>1435</v>
      </c>
      <c r="C1202" s="13" t="s">
        <v>1086</v>
      </c>
      <c r="D1202" s="14"/>
      <c r="E1202" s="9">
        <v>71.3</v>
      </c>
      <c r="F1202" s="9">
        <f t="shared" si="40"/>
        <v>0</v>
      </c>
      <c r="G1202" s="13"/>
      <c r="H1202" s="14" t="str">
        <f>HYPERLINK("https://pulti.ua/dvd-blueray/pult-dlja-bbk-rc437")</f>
        <v>https://pulti.ua/dvd-blueray/pult-dlja-bbk-rc437</v>
      </c>
    </row>
    <row r="1203" spans="1:8" s="18" customFormat="1" ht="15" customHeight="1">
      <c r="A1203" s="39">
        <v>2162</v>
      </c>
      <c r="B1203" s="26" t="s">
        <v>1097</v>
      </c>
      <c r="C1203" s="13" t="s">
        <v>1095</v>
      </c>
      <c r="D1203" s="14"/>
      <c r="E1203" s="9">
        <v>138.8</v>
      </c>
      <c r="F1203" s="9">
        <f t="shared" si="40"/>
        <v>0</v>
      </c>
      <c r="G1203" s="13"/>
      <c r="H1203" s="14" t="str">
        <f>HYPERLINK("https://pulti.ua/domashnie-kinoteatry/pult-dlja-bbk-rc-52")</f>
        <v>https://pulti.ua/domashnie-kinoteatry/pult-dlja-bbk-rc-52</v>
      </c>
    </row>
    <row r="1204" spans="1:8" s="18" customFormat="1" ht="15" customHeight="1">
      <c r="A1204" s="39">
        <v>2165</v>
      </c>
      <c r="B1204" s="26" t="s">
        <v>1098</v>
      </c>
      <c r="C1204" s="13" t="s">
        <v>1095</v>
      </c>
      <c r="D1204" s="14"/>
      <c r="E1204" s="9">
        <v>138.8</v>
      </c>
      <c r="F1204" s="9">
        <f t="shared" si="40"/>
        <v>0</v>
      </c>
      <c r="G1204" s="13"/>
      <c r="H1204" s="14" t="str">
        <f>HYPERLINK("https://pulti.ua/domashnie-kinoteatry/pult-dlja-bbk-rc-57")</f>
        <v>https://pulti.ua/domashnie-kinoteatry/pult-dlja-bbk-rc-57</v>
      </c>
    </row>
    <row r="1205" spans="1:8" s="18" customFormat="1" ht="15" customHeight="1">
      <c r="A1205" s="11">
        <v>2171</v>
      </c>
      <c r="B1205" s="12" t="s">
        <v>1099</v>
      </c>
      <c r="C1205" s="13" t="s">
        <v>1086</v>
      </c>
      <c r="D1205" s="14"/>
      <c r="E1205" s="9">
        <v>60</v>
      </c>
      <c r="F1205" s="9">
        <f t="shared" si="40"/>
        <v>0</v>
      </c>
      <c r="G1205" s="13"/>
      <c r="H1205" s="14" t="str">
        <f>HYPERLINK("https://pulti.ua/dvd-blueray/pult-dlja-bimatek-d-1152vkp")</f>
        <v>https://pulti.ua/dvd-blueray/pult-dlja-bimatek-d-1152vkp</v>
      </c>
    </row>
    <row r="1206" spans="1:8" s="18" customFormat="1" ht="15" customHeight="1">
      <c r="A1206" s="11">
        <v>2934</v>
      </c>
      <c r="B1206" s="12" t="s">
        <v>1100</v>
      </c>
      <c r="C1206" s="13" t="s">
        <v>1086</v>
      </c>
      <c r="D1206" s="14"/>
      <c r="E1206" s="9">
        <v>71.3</v>
      </c>
      <c r="F1206" s="9">
        <f t="shared" si="40"/>
        <v>0</v>
      </c>
      <c r="G1206" s="13"/>
      <c r="H1206" s="14" t="str">
        <f>HYPERLINK("https://pulti.ua/dvd-blueray/pult-dlja-bravis-ak-902s")</f>
        <v>https://pulti.ua/dvd-blueray/pult-dlja-bravis-ak-902s</v>
      </c>
    </row>
    <row r="1207" spans="1:8" s="18" customFormat="1" ht="15" customHeight="1">
      <c r="A1207" s="11">
        <v>2173</v>
      </c>
      <c r="B1207" s="12" t="s">
        <v>1101</v>
      </c>
      <c r="C1207" s="13" t="s">
        <v>1086</v>
      </c>
      <c r="D1207" s="14"/>
      <c r="E1207" s="9">
        <v>71.3</v>
      </c>
      <c r="F1207" s="9">
        <f t="shared" si="40"/>
        <v>0</v>
      </c>
      <c r="G1207" s="13"/>
      <c r="H1207" s="14" t="str">
        <f>HYPERLINK("https://pulti.ua/dvd-blueray/pult-dlja-bravis-dvd-2010")</f>
        <v>https://pulti.ua/dvd-blueray/pult-dlja-bravis-dvd-2010</v>
      </c>
    </row>
    <row r="1208" spans="1:8" s="18" customFormat="1" ht="15" customHeight="1">
      <c r="A1208" s="11">
        <v>2174</v>
      </c>
      <c r="B1208" s="12" t="s">
        <v>1102</v>
      </c>
      <c r="C1208" s="13" t="s">
        <v>1086</v>
      </c>
      <c r="D1208" s="14"/>
      <c r="E1208" s="9">
        <v>71.3</v>
      </c>
      <c r="F1208" s="9">
        <f t="shared" si="40"/>
        <v>0</v>
      </c>
      <c r="G1208" s="13"/>
      <c r="H1208" s="14" t="str">
        <f>HYPERLINK("https://pulti.ua/dvd-blueray/pult-dlja-bravis-dvd-551-noc-black")</f>
        <v>https://pulti.ua/dvd-blueray/pult-dlja-bravis-dvd-551-noc-black</v>
      </c>
    </row>
    <row r="1209" spans="1:8" s="18" customFormat="1" ht="15" customHeight="1">
      <c r="A1209" s="11">
        <v>2175</v>
      </c>
      <c r="B1209" s="12" t="s">
        <v>1103</v>
      </c>
      <c r="C1209" s="13" t="s">
        <v>1086</v>
      </c>
      <c r="D1209" s="14"/>
      <c r="E1209" s="9">
        <v>71.3</v>
      </c>
      <c r="F1209" s="9">
        <f t="shared" si="40"/>
        <v>0</v>
      </c>
      <c r="G1209" s="13"/>
      <c r="H1209" s="14" t="str">
        <f>HYPERLINK("https://pulti.ua/dvd-blueray/pult-dlja-bravis-dvd-553")</f>
        <v>https://pulti.ua/dvd-blueray/pult-dlja-bravis-dvd-553</v>
      </c>
    </row>
    <row r="1210" spans="1:8" s="18" customFormat="1" ht="15" customHeight="1">
      <c r="A1210" s="11">
        <v>2176</v>
      </c>
      <c r="B1210" s="12" t="s">
        <v>1104</v>
      </c>
      <c r="C1210" s="13" t="s">
        <v>1086</v>
      </c>
      <c r="D1210" s="14"/>
      <c r="E1210" s="9">
        <v>67.5</v>
      </c>
      <c r="F1210" s="9">
        <f t="shared" si="40"/>
        <v>0</v>
      </c>
      <c r="G1210" s="13"/>
      <c r="H1210" s="14" t="str">
        <f>HYPERLINK("https://pulti.ua/dvd-blueray/pult-dlja-bravis-dvd-560")</f>
        <v>https://pulti.ua/dvd-blueray/pult-dlja-bravis-dvd-560</v>
      </c>
    </row>
    <row r="1211" spans="1:8" s="18" customFormat="1" ht="15" customHeight="1">
      <c r="A1211" s="11">
        <v>2177</v>
      </c>
      <c r="B1211" s="12" t="s">
        <v>1105</v>
      </c>
      <c r="C1211" s="13" t="s">
        <v>1086</v>
      </c>
      <c r="D1211" s="14"/>
      <c r="E1211" s="9">
        <v>90</v>
      </c>
      <c r="F1211" s="9">
        <f t="shared" si="40"/>
        <v>0</v>
      </c>
      <c r="G1211" s="13"/>
      <c r="H1211" s="14" t="str">
        <f>HYPERLINK("https://pulti.ua/dvd-blueray/pult-dlja-bravis-dvd-607")</f>
        <v>https://pulti.ua/dvd-blueray/pult-dlja-bravis-dvd-607</v>
      </c>
    </row>
    <row r="1212" spans="1:8" s="18" customFormat="1" ht="15" customHeight="1">
      <c r="A1212" s="11">
        <v>1084</v>
      </c>
      <c r="B1212" s="12" t="s">
        <v>1107</v>
      </c>
      <c r="C1212" s="13" t="s">
        <v>1106</v>
      </c>
      <c r="D1212" s="14"/>
      <c r="E1212" s="9">
        <v>142.5</v>
      </c>
      <c r="F1212" s="9">
        <f t="shared" si="40"/>
        <v>0</v>
      </c>
      <c r="G1212" s="13"/>
      <c r="H1212" s="14" t="str">
        <f>HYPERLINK("https://pulti.ua/avtomobilnie/pult-dlja-kenwood-car-ken-dnpp")</f>
        <v>https://pulti.ua/avtomobilnie/pult-dlja-kenwood-car-ken-dnpp</v>
      </c>
    </row>
    <row r="1213" spans="1:8" s="18" customFormat="1" ht="15" customHeight="1">
      <c r="A1213" s="11">
        <v>1085</v>
      </c>
      <c r="B1213" s="12" t="s">
        <v>1108</v>
      </c>
      <c r="C1213" s="13" t="s">
        <v>1106</v>
      </c>
      <c r="D1213" s="14"/>
      <c r="E1213" s="9">
        <v>123.8</v>
      </c>
      <c r="F1213" s="9">
        <f t="shared" si="40"/>
        <v>0</v>
      </c>
      <c r="G1213" s="13"/>
      <c r="H1213" s="14" t="str">
        <f>HYPERLINK("https://pulti.ua/avtomobilnie/pult-dlja-kenwood-kca-r6a")</f>
        <v>https://pulti.ua/avtomobilnie/pult-dlja-kenwood-kca-r6a</v>
      </c>
    </row>
    <row r="1214" spans="1:8" s="18" customFormat="1" ht="15" customHeight="1">
      <c r="A1214" s="11">
        <v>1088</v>
      </c>
      <c r="B1214" s="12" t="s">
        <v>1109</v>
      </c>
      <c r="C1214" s="13" t="s">
        <v>1106</v>
      </c>
      <c r="D1214" s="14"/>
      <c r="E1214" s="9">
        <v>116.3</v>
      </c>
      <c r="F1214" s="9">
        <f t="shared" si="40"/>
        <v>0</v>
      </c>
      <c r="G1214" s="13"/>
      <c r="H1214" s="14" t="str">
        <f>HYPERLINK("https://pulti.ua/avtomobilnie/pult-dlja-pioneer-and-306")</f>
        <v>https://pulti.ua/avtomobilnie/pult-dlja-pioneer-and-306</v>
      </c>
    </row>
    <row r="1215" spans="1:8" s="18" customFormat="1" ht="15" customHeight="1">
      <c r="A1215" s="11">
        <v>1089</v>
      </c>
      <c r="B1215" s="12" t="s">
        <v>1110</v>
      </c>
      <c r="C1215" s="13" t="s">
        <v>1106</v>
      </c>
      <c r="D1215" s="14"/>
      <c r="E1215" s="9">
        <v>116.3</v>
      </c>
      <c r="F1215" s="9">
        <f t="shared" si="40"/>
        <v>0</v>
      </c>
      <c r="G1215" s="13"/>
      <c r="H1215" s="14" t="str">
        <f>HYPERLINK("https://pulti.ua/avtomobilnie/pult-dlja-pioneer-cxb6798")</f>
        <v>https://pulti.ua/avtomobilnie/pult-dlja-pioneer-cxb6798</v>
      </c>
    </row>
    <row r="1216" spans="1:8" s="18" customFormat="1" ht="15" customHeight="1">
      <c r="A1216" s="11">
        <v>2178</v>
      </c>
      <c r="B1216" s="12" t="s">
        <v>1111</v>
      </c>
      <c r="C1216" s="13" t="s">
        <v>1086</v>
      </c>
      <c r="D1216" s="14"/>
      <c r="E1216" s="9">
        <v>112.5</v>
      </c>
      <c r="F1216" s="9">
        <f t="shared" si="40"/>
        <v>0</v>
      </c>
      <c r="G1216" s="13"/>
      <c r="H1216" s="14" t="str">
        <f>HYPERLINK("https://pulti.ua/dvd-blueray/pult-dlja-daewoo-dv-1350s")</f>
        <v>https://pulti.ua/dvd-blueray/pult-dlja-daewoo-dv-1350s</v>
      </c>
    </row>
    <row r="1217" spans="1:8" s="18" customFormat="1" ht="15" customHeight="1">
      <c r="A1217" s="11">
        <v>2179</v>
      </c>
      <c r="B1217" s="12" t="s">
        <v>1112</v>
      </c>
      <c r="C1217" s="13" t="s">
        <v>1086</v>
      </c>
      <c r="D1217" s="14"/>
      <c r="E1217" s="9">
        <v>123.8</v>
      </c>
      <c r="F1217" s="9">
        <f t="shared" si="40"/>
        <v>0</v>
      </c>
      <c r="G1217" s="13"/>
      <c r="H1217" s="14" t="str">
        <f>HYPERLINK("https://pulti.ua/dvd-blueray/pult-dlja-daewoo-dv-700s")</f>
        <v>https://pulti.ua/dvd-blueray/pult-dlja-daewoo-dv-700s</v>
      </c>
    </row>
    <row r="1218" spans="1:8" s="18" customFormat="1" ht="15" customHeight="1">
      <c r="A1218" s="11">
        <v>2180</v>
      </c>
      <c r="B1218" s="12" t="s">
        <v>1113</v>
      </c>
      <c r="C1218" s="13" t="s">
        <v>1086</v>
      </c>
      <c r="D1218" s="14"/>
      <c r="E1218" s="9">
        <v>146.3</v>
      </c>
      <c r="F1218" s="9">
        <f t="shared" si="40"/>
        <v>0</v>
      </c>
      <c r="G1218" s="13"/>
      <c r="H1218" s="14" t="str">
        <f>HYPERLINK("https://pulti.ua/dvd-blueray/pult-dlja-daewoo-dvdp-121k")</f>
        <v>https://pulti.ua/dvd-blueray/pult-dlja-daewoo-dvdp-121k</v>
      </c>
    </row>
    <row r="1219" spans="1:8" s="18" customFormat="1" ht="15" customHeight="1">
      <c r="A1219" s="11">
        <v>2184</v>
      </c>
      <c r="B1219" s="12" t="s">
        <v>1114</v>
      </c>
      <c r="C1219" s="13" t="s">
        <v>1086</v>
      </c>
      <c r="D1219" s="14"/>
      <c r="E1219" s="9">
        <v>86.3</v>
      </c>
      <c r="F1219" s="9">
        <f t="shared" si="40"/>
        <v>0</v>
      </c>
      <c r="G1219" s="13"/>
      <c r="H1219" s="14" t="str">
        <f>HYPERLINK("https://pulti.ua/dvd-blueray/pult-dlja-deso-dvd-998")</f>
        <v>https://pulti.ua/dvd-blueray/pult-dlja-deso-dvd-998</v>
      </c>
    </row>
    <row r="1220" spans="1:8" s="18" customFormat="1" ht="15" customHeight="1">
      <c r="A1220" s="11">
        <v>2181</v>
      </c>
      <c r="B1220" s="12" t="s">
        <v>1115</v>
      </c>
      <c r="C1220" s="13" t="s">
        <v>1086</v>
      </c>
      <c r="D1220" s="14"/>
      <c r="E1220" s="9">
        <v>71.3</v>
      </c>
      <c r="F1220" s="9">
        <f t="shared" si="40"/>
        <v>0</v>
      </c>
      <c r="G1220" s="13"/>
      <c r="H1220" s="14" t="str">
        <f>HYPERLINK("https://pulti.ua/dvd-blueray/pult-dlja-deso-dvd-2801")</f>
        <v>https://pulti.ua/dvd-blueray/pult-dlja-deso-dvd-2801</v>
      </c>
    </row>
    <row r="1221" spans="1:8" s="18" customFormat="1" ht="15" customHeight="1">
      <c r="A1221" s="11">
        <v>2182</v>
      </c>
      <c r="B1221" s="12" t="s">
        <v>1116</v>
      </c>
      <c r="C1221" s="13" t="s">
        <v>1086</v>
      </c>
      <c r="D1221" s="14"/>
      <c r="E1221" s="9">
        <v>63.8</v>
      </c>
      <c r="F1221" s="9">
        <f t="shared" si="40"/>
        <v>0</v>
      </c>
      <c r="G1221" s="13"/>
      <c r="H1221" s="14" t="str">
        <f>HYPERLINK("https://pulti.ua/dvd-blueray/pult-dlja-deso-dvd-3800")</f>
        <v>https://pulti.ua/dvd-blueray/pult-dlja-deso-dvd-3800</v>
      </c>
    </row>
    <row r="1222" spans="1:8" s="18" customFormat="1" ht="15" customHeight="1">
      <c r="A1222" s="11">
        <v>2183</v>
      </c>
      <c r="B1222" s="12" t="s">
        <v>1117</v>
      </c>
      <c r="C1222" s="13" t="s">
        <v>1086</v>
      </c>
      <c r="D1222" s="14"/>
      <c r="E1222" s="9">
        <v>86.3</v>
      </c>
      <c r="F1222" s="9">
        <f t="shared" si="40"/>
        <v>0</v>
      </c>
      <c r="G1222" s="13"/>
      <c r="H1222" s="14" t="str">
        <f>HYPERLINK("https://pulti.ua/dvd-blueray/pult-dlja-deso-dvd-880of")</f>
        <v>https://pulti.ua/dvd-blueray/pult-dlja-deso-dvd-880of</v>
      </c>
    </row>
    <row r="1223" spans="1:8" s="18" customFormat="1" ht="15" customHeight="1">
      <c r="A1223" s="11">
        <v>2185</v>
      </c>
      <c r="B1223" s="12" t="s">
        <v>1118</v>
      </c>
      <c r="C1223" s="13" t="s">
        <v>1086</v>
      </c>
      <c r="D1223" s="14"/>
      <c r="E1223" s="9">
        <v>71.3</v>
      </c>
      <c r="F1223" s="9">
        <f t="shared" si="40"/>
        <v>0</v>
      </c>
      <c r="G1223" s="13"/>
      <c r="H1223" s="14" t="str">
        <f>HYPERLINK("https://pulti.ua/dvd-blueray/pult-dlja-dex-dvp-133")</f>
        <v>https://pulti.ua/dvd-blueray/pult-dlja-dex-dvp-133</v>
      </c>
    </row>
    <row r="1224" spans="1:8" s="18" customFormat="1" ht="15" customHeight="1">
      <c r="A1224" s="11">
        <v>2935</v>
      </c>
      <c r="B1224" s="12" t="s">
        <v>1119</v>
      </c>
      <c r="C1224" s="13" t="s">
        <v>1086</v>
      </c>
      <c r="D1224" s="14"/>
      <c r="E1224" s="9">
        <v>71.3</v>
      </c>
      <c r="F1224" s="9">
        <f t="shared" si="40"/>
        <v>0</v>
      </c>
      <c r="G1224" s="13"/>
      <c r="H1224" s="14" t="str">
        <f>HYPERLINK("https://pulti.ua/dvd-blueray/pult-dlja-dex-dvp-272")</f>
        <v>https://pulti.ua/dvd-blueray/pult-dlja-dex-dvp-272</v>
      </c>
    </row>
    <row r="1225" spans="1:8" s="18" customFormat="1" ht="15" customHeight="1">
      <c r="A1225" s="11">
        <v>3037</v>
      </c>
      <c r="B1225" s="12" t="s">
        <v>1120</v>
      </c>
      <c r="C1225" s="13" t="s">
        <v>1086</v>
      </c>
      <c r="D1225" s="14"/>
      <c r="E1225" s="9">
        <v>71.3</v>
      </c>
      <c r="F1225" s="9">
        <f t="shared" si="40"/>
        <v>0</v>
      </c>
      <c r="G1225" s="13"/>
      <c r="H1225" s="14" t="str">
        <f>HYPERLINK("https://pulti.ua/dvd-blueray/pult-dlja-dex-dvp-274")</f>
        <v>https://pulti.ua/dvd-blueray/pult-dlja-dex-dvp-274</v>
      </c>
    </row>
    <row r="1226" spans="1:8" s="18" customFormat="1" ht="15" customHeight="1">
      <c r="A1226" s="11">
        <v>3038</v>
      </c>
      <c r="B1226" s="12" t="s">
        <v>1121</v>
      </c>
      <c r="C1226" s="13" t="s">
        <v>1086</v>
      </c>
      <c r="D1226" s="14"/>
      <c r="E1226" s="9">
        <v>71.3</v>
      </c>
      <c r="F1226" s="9">
        <f t="shared" si="40"/>
        <v>0</v>
      </c>
      <c r="G1226" s="13"/>
      <c r="H1226" s="14" t="str">
        <f>HYPERLINK("https://pulti.ua/dvd-blueray/pult-dlja-dex-dvp-280")</f>
        <v>https://pulti.ua/dvd-blueray/pult-dlja-dex-dvp-280</v>
      </c>
    </row>
    <row r="1227" spans="1:8" s="18" customFormat="1" ht="15" customHeight="1">
      <c r="A1227" s="11">
        <v>2189</v>
      </c>
      <c r="B1227" s="12" t="s">
        <v>1122</v>
      </c>
      <c r="C1227" s="13" t="s">
        <v>1086</v>
      </c>
      <c r="D1227" s="14"/>
      <c r="E1227" s="9">
        <v>71.3</v>
      </c>
      <c r="F1227" s="9">
        <f t="shared" si="40"/>
        <v>0</v>
      </c>
      <c r="G1227" s="13"/>
      <c r="H1227" s="14" t="str">
        <f>HYPERLINK("https://pulti.ua/dvd-blueray/pult-dlja-digital-dvp-227km")</f>
        <v>https://pulti.ua/dvd-blueray/pult-dlja-digital-dvp-227km</v>
      </c>
    </row>
    <row r="1228" spans="1:8" s="18" customFormat="1" ht="15" customHeight="1">
      <c r="A1228" s="11">
        <v>2213</v>
      </c>
      <c r="B1228" s="12" t="s">
        <v>1123</v>
      </c>
      <c r="C1228" s="13" t="s">
        <v>1086</v>
      </c>
      <c r="D1228" s="14"/>
      <c r="E1228" s="9">
        <v>112.5</v>
      </c>
      <c r="F1228" s="9">
        <f t="shared" si="40"/>
        <v>0</v>
      </c>
      <c r="G1228" s="13"/>
      <c r="H1228" s="14" t="str">
        <f>HYPERLINK("https://pulti.ua/dvd-blueray/pult-dlja-elco-el--733c")</f>
        <v>https://pulti.ua/dvd-blueray/pult-dlja-elco-el--733c</v>
      </c>
    </row>
    <row r="1229" spans="1:8" s="18" customFormat="1" ht="15" customHeight="1">
      <c r="A1229" s="11">
        <v>1801</v>
      </c>
      <c r="B1229" s="12" t="s">
        <v>1124</v>
      </c>
      <c r="C1229" s="13" t="s">
        <v>1086</v>
      </c>
      <c r="D1229" s="14"/>
      <c r="E1229" s="9">
        <v>63.8</v>
      </c>
      <c r="F1229" s="9">
        <f t="shared" si="40"/>
        <v>0</v>
      </c>
      <c r="G1229" s="13"/>
      <c r="H1229" s="14" t="str">
        <f>HYPERLINK("https://pulti.ua/dvd-blueray/pult-dlja-elenberg-dvdp-2404-noc")</f>
        <v>https://pulti.ua/dvd-blueray/pult-dlja-elenberg-dvdp-2404-noc</v>
      </c>
    </row>
    <row r="1230" spans="1:8" s="18" customFormat="1" ht="15" customHeight="1">
      <c r="A1230" s="11">
        <v>2197</v>
      </c>
      <c r="B1230" s="12" t="s">
        <v>1436</v>
      </c>
      <c r="C1230" s="13" t="s">
        <v>1086</v>
      </c>
      <c r="D1230" s="14"/>
      <c r="E1230" s="9">
        <v>101.3</v>
      </c>
      <c r="F1230" s="9">
        <f t="shared" si="40"/>
        <v>0</v>
      </c>
      <c r="G1230" s="13"/>
      <c r="H1230" s="14" t="str">
        <f>HYPERLINK("https://pulti.ua/tv/pult-samsung-aa59-00631a-smart-touch-control-originalnii")</f>
        <v>https://pulti.ua/tv/pult-samsung-aa59-00631a-smart-touch-control-originalnii</v>
      </c>
    </row>
    <row r="1231" spans="1:8" s="18" customFormat="1" ht="15" customHeight="1">
      <c r="A1231" s="11">
        <v>2198</v>
      </c>
      <c r="B1231" s="12" t="s">
        <v>1125</v>
      </c>
      <c r="C1231" s="13" t="s">
        <v>1086</v>
      </c>
      <c r="D1231" s="14"/>
      <c r="E1231" s="9">
        <v>101.3</v>
      </c>
      <c r="F1231" s="9">
        <f t="shared" si="40"/>
        <v>0</v>
      </c>
      <c r="G1231" s="13"/>
      <c r="H1231" s="14" t="str">
        <f>HYPERLINK("https://pulti.ua/dvd-blueray/pult-dlja-elenberg-dvdp-2407")</f>
        <v>https://pulti.ua/dvd-blueray/pult-dlja-elenberg-dvdp-2407</v>
      </c>
    </row>
    <row r="1232" spans="1:8" s="18" customFormat="1" ht="15" customHeight="1">
      <c r="A1232" s="11">
        <v>2203</v>
      </c>
      <c r="B1232" s="12" t="s">
        <v>1126</v>
      </c>
      <c r="C1232" s="13" t="s">
        <v>1086</v>
      </c>
      <c r="D1232" s="14"/>
      <c r="E1232" s="9">
        <v>86.3</v>
      </c>
      <c r="F1232" s="9">
        <f t="shared" si="40"/>
        <v>0</v>
      </c>
      <c r="G1232" s="13"/>
      <c r="H1232" s="14" t="str">
        <f>HYPERLINK("https://pulti.ua/dvd-blueray/pult-dlja-elenberg-dv-vkm-1440si")</f>
        <v>https://pulti.ua/dvd-blueray/pult-dlja-elenberg-dv-vkm-1440si</v>
      </c>
    </row>
    <row r="1233" spans="1:8" s="18" customFormat="1" ht="15" customHeight="1">
      <c r="A1233" s="11">
        <v>2208</v>
      </c>
      <c r="B1233" s="12" t="s">
        <v>1127</v>
      </c>
      <c r="C1233" s="13" t="s">
        <v>1086</v>
      </c>
      <c r="D1233" s="14"/>
      <c r="E1233" s="9">
        <v>71.3</v>
      </c>
      <c r="F1233" s="9">
        <f t="shared" si="40"/>
        <v>0</v>
      </c>
      <c r="G1233" s="13"/>
      <c r="H1233" s="14" t="str">
        <f>HYPERLINK("https://pulti.ua/dvd-blueray/pult-dlja-elenberg--r707e")</f>
        <v>https://pulti.ua/dvd-blueray/pult-dlja-elenberg--r707e</v>
      </c>
    </row>
    <row r="1234" spans="1:8" s="18" customFormat="1" ht="15" customHeight="1">
      <c r="A1234" s="11">
        <v>2209</v>
      </c>
      <c r="B1234" s="12" t="s">
        <v>1128</v>
      </c>
      <c r="C1234" s="13" t="s">
        <v>1086</v>
      </c>
      <c r="D1234" s="14"/>
      <c r="E1234" s="9">
        <v>90</v>
      </c>
      <c r="F1234" s="9">
        <f t="shared" si="40"/>
        <v>0</v>
      </c>
      <c r="G1234" s="13"/>
      <c r="H1234" s="14" t="str">
        <f>HYPERLINK("https://pulti.ua/dvd-blueray/pult-dlja-elenberg-r802e")</f>
        <v>https://pulti.ua/dvd-blueray/pult-dlja-elenberg-r802e</v>
      </c>
    </row>
    <row r="1235" spans="1:8" s="18" customFormat="1" ht="15" customHeight="1">
      <c r="A1235" s="11">
        <v>2212</v>
      </c>
      <c r="B1235" s="12" t="s">
        <v>1129</v>
      </c>
      <c r="C1235" s="13" t="s">
        <v>1086</v>
      </c>
      <c r="D1235" s="14"/>
      <c r="E1235" s="9">
        <v>60</v>
      </c>
      <c r="F1235" s="9">
        <f t="shared" si="40"/>
        <v>0</v>
      </c>
      <c r="G1235" s="13"/>
      <c r="H1235" s="14" t="str">
        <f>HYPERLINK("https://pulti.ua/dvd-blueray/pult-dlja-elenberg-rc-d010e-00fb")</f>
        <v>https://pulti.ua/dvd-blueray/pult-dlja-elenberg-rc-d010e-00fb</v>
      </c>
    </row>
    <row r="1236" spans="1:8" s="18" customFormat="1" ht="15" customHeight="1">
      <c r="A1236" s="11">
        <v>2211</v>
      </c>
      <c r="B1236" s="12" t="s">
        <v>1130</v>
      </c>
      <c r="C1236" s="13" t="s">
        <v>1086</v>
      </c>
      <c r="D1236" s="14"/>
      <c r="E1236" s="9">
        <v>60</v>
      </c>
      <c r="F1236" s="9">
        <f t="shared" si="40"/>
        <v>0</v>
      </c>
      <c r="G1236" s="13"/>
      <c r="H1236" s="14" t="str">
        <f>HYPERLINK("https://pulti.ua/dvd-blueray/pult-dlja-elenberg-rc-d010e-00ff")</f>
        <v>https://pulti.ua/dvd-blueray/pult-dlja-elenberg-rc-d010e-00ff</v>
      </c>
    </row>
    <row r="1237" spans="1:8" s="18" customFormat="1" ht="15" customHeight="1">
      <c r="A1237" s="11">
        <v>1776</v>
      </c>
      <c r="B1237" s="12" t="s">
        <v>1131</v>
      </c>
      <c r="C1237" s="13" t="s">
        <v>1086</v>
      </c>
      <c r="D1237" s="14"/>
      <c r="E1237" s="9">
        <v>97.5</v>
      </c>
      <c r="F1237" s="9">
        <f t="shared" si="40"/>
        <v>0</v>
      </c>
      <c r="G1237" s="13"/>
      <c r="H1237" s="14" t="str">
        <f>HYPERLINK("https://pulti.ua/dvd-blueray/pult-dlja-erisson-jx-8005b-noc")</f>
        <v>https://pulti.ua/dvd-blueray/pult-dlja-erisson-jx-8005b-noc</v>
      </c>
    </row>
    <row r="1238" spans="1:8" s="18" customFormat="1" ht="15" customHeight="1">
      <c r="A1238" s="39">
        <v>3014</v>
      </c>
      <c r="B1238" s="26" t="s">
        <v>1132</v>
      </c>
      <c r="C1238" s="13" t="s">
        <v>1086</v>
      </c>
      <c r="D1238" s="14"/>
      <c r="E1238" s="9">
        <v>116.3</v>
      </c>
      <c r="F1238" s="9">
        <f t="shared" si="40"/>
        <v>0</v>
      </c>
      <c r="G1238" s="13"/>
      <c r="H1238" s="14" t="str">
        <f>HYPERLINK("https://pulti.ua/dvd-blueray/pult-dlja-general-jx-2008b")</f>
        <v>https://pulti.ua/dvd-blueray/pult-dlja-general-jx-2008b</v>
      </c>
    </row>
    <row r="1239" spans="1:8" s="18" customFormat="1" ht="15" customHeight="1">
      <c r="A1239" s="39">
        <v>2215</v>
      </c>
      <c r="B1239" s="26" t="s">
        <v>1133</v>
      </c>
      <c r="C1239" s="13" t="s">
        <v>1086</v>
      </c>
      <c r="D1239" s="14"/>
      <c r="E1239" s="9">
        <v>112.5</v>
      </c>
      <c r="F1239" s="9">
        <f t="shared" si="40"/>
        <v>0</v>
      </c>
      <c r="G1239" s="13"/>
      <c r="H1239" s="14" t="str">
        <f>HYPERLINK("https://pulti.ua/dvd-blueray/pult-dlja-general-rc-001")</f>
        <v>https://pulti.ua/dvd-blueray/pult-dlja-general-rc-001</v>
      </c>
    </row>
    <row r="1240" spans="1:8" s="18" customFormat="1" ht="15" customHeight="1">
      <c r="A1240" s="11">
        <v>2217</v>
      </c>
      <c r="B1240" s="12" t="s">
        <v>1134</v>
      </c>
      <c r="C1240" s="13" t="s">
        <v>1086</v>
      </c>
      <c r="D1240" s="14"/>
      <c r="E1240" s="9">
        <v>71.3</v>
      </c>
      <c r="F1240" s="9">
        <f t="shared" si="40"/>
        <v>0</v>
      </c>
      <c r="G1240" s="13"/>
      <c r="H1240" s="14" t="str">
        <f>HYPERLINK("https://pulti.ua/dvd-blueray/pult-dlja-hyundai-h-dvd-5006")</f>
        <v>https://pulti.ua/dvd-blueray/pult-dlja-hyundai-h-dvd-5006</v>
      </c>
    </row>
    <row r="1241" spans="1:8" s="18" customFormat="1" ht="15" customHeight="1">
      <c r="A1241" s="11">
        <v>2218</v>
      </c>
      <c r="B1241" s="12" t="s">
        <v>1135</v>
      </c>
      <c r="C1241" s="13" t="s">
        <v>1086</v>
      </c>
      <c r="D1241" s="14"/>
      <c r="E1241" s="9">
        <v>67.5</v>
      </c>
      <c r="F1241" s="9">
        <f t="shared" si="40"/>
        <v>0</v>
      </c>
      <c r="G1241" s="13"/>
      <c r="H1241" s="14" t="str">
        <f>HYPERLINK("https://pulti.ua/dvd-blueray/pult-dlja-hyundai-h-dvd-5016")</f>
        <v>https://pulti.ua/dvd-blueray/pult-dlja-hyundai-h-dvd-5016</v>
      </c>
    </row>
    <row r="1242" spans="1:8" s="18" customFormat="1" ht="15" customHeight="1">
      <c r="A1242" s="11">
        <v>2937</v>
      </c>
      <c r="B1242" s="12" t="s">
        <v>1136</v>
      </c>
      <c r="C1242" s="13" t="s">
        <v>1086</v>
      </c>
      <c r="D1242" s="14"/>
      <c r="E1242" s="9">
        <v>71.3</v>
      </c>
      <c r="F1242" s="9">
        <f t="shared" si="40"/>
        <v>0</v>
      </c>
      <c r="G1242" s="13"/>
      <c r="H1242" s="14" t="str">
        <f>HYPERLINK("https://pulti.ua/dvd-blueray/pult-dlja-hyundai-h-5046n")</f>
        <v>https://pulti.ua/dvd-blueray/pult-dlja-hyundai-h-5046n</v>
      </c>
    </row>
    <row r="1243" spans="1:8" s="18" customFormat="1" ht="15" customHeight="1">
      <c r="A1243" s="11">
        <v>2221</v>
      </c>
      <c r="B1243" s="12" t="s">
        <v>1137</v>
      </c>
      <c r="C1243" s="13" t="s">
        <v>1086</v>
      </c>
      <c r="D1243" s="14"/>
      <c r="E1243" s="9">
        <v>105</v>
      </c>
      <c r="F1243" s="9">
        <f t="shared" si="40"/>
        <v>0</v>
      </c>
      <c r="G1243" s="13"/>
      <c r="H1243" s="14" t="str">
        <f>HYPERLINK("https://pulti.ua/dvd-blueray/pult-dlja-hyundai-h-dvd5062-n")</f>
        <v>https://pulti.ua/dvd-blueray/pult-dlja-hyundai-h-dvd5062-n</v>
      </c>
    </row>
    <row r="1244" spans="1:8" s="18" customFormat="1" ht="15" customHeight="1">
      <c r="A1244" s="11">
        <v>2222</v>
      </c>
      <c r="B1244" s="12" t="s">
        <v>1138</v>
      </c>
      <c r="C1244" s="13" t="s">
        <v>1086</v>
      </c>
      <c r="D1244" s="14"/>
      <c r="E1244" s="9">
        <v>82.5</v>
      </c>
      <c r="F1244" s="9">
        <f t="shared" si="40"/>
        <v>0</v>
      </c>
      <c r="G1244" s="13"/>
      <c r="H1244" s="14" t="str">
        <f>HYPERLINK("https://pulti.ua/dvd-blueray/pult-dlja-hyundai-jx8006")</f>
        <v>https://pulti.ua/dvd-blueray/pult-dlja-hyundai-jx8006</v>
      </c>
    </row>
    <row r="1245" spans="1:8" s="18" customFormat="1" ht="15" customHeight="1">
      <c r="A1245" s="39">
        <v>3392</v>
      </c>
      <c r="B1245" s="26" t="s">
        <v>1139</v>
      </c>
      <c r="C1245" s="13" t="s">
        <v>1086</v>
      </c>
      <c r="D1245" s="14"/>
      <c r="E1245" s="9">
        <v>120</v>
      </c>
      <c r="F1245" s="9">
        <f t="shared" si="40"/>
        <v>0</v>
      </c>
      <c r="G1245" s="13"/>
      <c r="H1245" s="14" t="str">
        <f>HYPERLINK("https://pulti.ua/dvd-blueray/pult-dlja-izumi-ws-528")</f>
        <v>https://pulti.ua/dvd-blueray/pult-dlja-izumi-ws-528</v>
      </c>
    </row>
    <row r="1246" spans="1:8" s="18" customFormat="1" ht="15" customHeight="1">
      <c r="A1246" s="39">
        <v>2227</v>
      </c>
      <c r="B1246" s="26" t="s">
        <v>1437</v>
      </c>
      <c r="C1246" s="13" t="s">
        <v>1095</v>
      </c>
      <c r="D1246" s="14"/>
      <c r="E1246" s="9">
        <v>82.5</v>
      </c>
      <c r="F1246" s="9">
        <f t="shared" si="40"/>
        <v>0</v>
      </c>
      <c r="G1246" s="13"/>
      <c r="H1246" s="14" t="str">
        <f>HYPERLINK("https://pulti.ua/domashnie-kinoteatry/pult-dlja-lg-6710cdak09d")</f>
        <v>https://pulti.ua/domashnie-kinoteatry/pult-dlja-lg-6710cdak09d</v>
      </c>
    </row>
    <row r="1247" spans="1:8" s="18" customFormat="1" ht="15" customHeight="1">
      <c r="A1247" s="11">
        <v>2233</v>
      </c>
      <c r="B1247" s="12" t="s">
        <v>1140</v>
      </c>
      <c r="C1247" s="13" t="s">
        <v>1086</v>
      </c>
      <c r="D1247" s="14"/>
      <c r="E1247" s="9">
        <v>56.3</v>
      </c>
      <c r="F1247" s="9">
        <f t="shared" si="40"/>
        <v>0</v>
      </c>
      <c r="G1247" s="13"/>
      <c r="H1247" s="14" t="str">
        <f>HYPERLINK("https://pulti.ua/dvd-blueray/pult-dlja-lg-6711r1p082a")</f>
        <v>https://pulti.ua/dvd-blueray/pult-dlja-lg-6711r1p082a</v>
      </c>
    </row>
    <row r="1248" spans="1:8" s="18" customFormat="1" ht="15" customHeight="1">
      <c r="A1248" s="11">
        <v>2234</v>
      </c>
      <c r="B1248" s="12" t="s">
        <v>1141</v>
      </c>
      <c r="C1248" s="13" t="s">
        <v>1086</v>
      </c>
      <c r="D1248" s="14"/>
      <c r="E1248" s="9">
        <v>56.3</v>
      </c>
      <c r="F1248" s="9">
        <f t="shared" si="40"/>
        <v>0</v>
      </c>
      <c r="G1248" s="13"/>
      <c r="H1248" s="14" t="str">
        <f>HYPERLINK("https://pulti.ua/dvd-blueray/pult-dlja-lg-6711r1p083a")</f>
        <v>https://pulti.ua/dvd-blueray/pult-dlja-lg-6711r1p083a</v>
      </c>
    </row>
    <row r="1249" spans="1:8" s="18" customFormat="1" ht="15" customHeight="1">
      <c r="A1249" s="39">
        <v>2239</v>
      </c>
      <c r="B1249" s="26" t="s">
        <v>1142</v>
      </c>
      <c r="C1249" s="13" t="s">
        <v>1086</v>
      </c>
      <c r="D1249" s="14"/>
      <c r="E1249" s="9">
        <v>71.3</v>
      </c>
      <c r="F1249" s="9">
        <f t="shared" si="40"/>
        <v>0</v>
      </c>
      <c r="G1249" s="13"/>
      <c r="H1249" s="14" t="str">
        <f>HYPERLINK("https://pulti.ua/dvd-blueray/pult-dlja-lg-akb32273504")</f>
        <v>https://pulti.ua/dvd-blueray/pult-dlja-lg-akb32273504</v>
      </c>
    </row>
    <row r="1250" spans="1:8" s="18" customFormat="1" ht="15" customHeight="1">
      <c r="A1250" s="39">
        <v>2240</v>
      </c>
      <c r="B1250" s="26" t="s">
        <v>1143</v>
      </c>
      <c r="C1250" s="13" t="s">
        <v>1086</v>
      </c>
      <c r="D1250" s="14"/>
      <c r="E1250" s="9">
        <v>168.8</v>
      </c>
      <c r="F1250" s="9">
        <f t="shared" si="40"/>
        <v>0</v>
      </c>
      <c r="G1250" s="13"/>
      <c r="H1250" s="14" t="str">
        <f>HYPERLINK("https://pulti.ua/dvd-blueray/pult-dlja-lg-akb32713201")</f>
        <v>https://pulti.ua/dvd-blueray/pult-dlja-lg-akb32713201</v>
      </c>
    </row>
    <row r="1251" spans="1:8" s="18" customFormat="1" ht="15" customHeight="1">
      <c r="A1251" s="39">
        <v>2241</v>
      </c>
      <c r="B1251" s="26" t="s">
        <v>1144</v>
      </c>
      <c r="C1251" s="13" t="s">
        <v>1086</v>
      </c>
      <c r="D1251" s="14"/>
      <c r="E1251" s="9">
        <v>48.8</v>
      </c>
      <c r="F1251" s="9">
        <f t="shared" si="40"/>
        <v>0</v>
      </c>
      <c r="G1251" s="13"/>
      <c r="H1251" s="14" t="str">
        <f>HYPERLINK("https://pulti.ua/dvd-blueray/pult-dlja-lg-akb36087606")</f>
        <v>https://pulti.ua/dvd-blueray/pult-dlja-lg-akb36087606</v>
      </c>
    </row>
    <row r="1252" spans="1:8" s="18" customFormat="1" ht="15" customHeight="1">
      <c r="A1252" s="39">
        <v>3154</v>
      </c>
      <c r="B1252" s="26" t="s">
        <v>1145</v>
      </c>
      <c r="C1252" s="13" t="s">
        <v>1146</v>
      </c>
      <c r="D1252" s="14"/>
      <c r="E1252" s="9">
        <v>217.5</v>
      </c>
      <c r="F1252" s="9">
        <f t="shared" si="40"/>
        <v>0</v>
      </c>
      <c r="G1252" s="13"/>
      <c r="H1252" s="14" t="str">
        <f>HYPERLINK("https://pulti.ua/dvd-blueray/pult-dlja-lg-akb72033902")</f>
        <v>https://pulti.ua/dvd-blueray/pult-dlja-lg-akb72033902</v>
      </c>
    </row>
    <row r="1253" spans="1:8" s="18" customFormat="1" ht="15" customHeight="1">
      <c r="A1253" s="39">
        <v>3161</v>
      </c>
      <c r="B1253" s="26" t="s">
        <v>1147</v>
      </c>
      <c r="C1253" s="13" t="s">
        <v>1146</v>
      </c>
      <c r="D1253" s="14"/>
      <c r="E1253" s="9">
        <v>217.5</v>
      </c>
      <c r="F1253" s="9">
        <f t="shared" si="40"/>
        <v>0</v>
      </c>
      <c r="G1253" s="13"/>
      <c r="H1253" s="14" t="str">
        <f>HYPERLINK("https://pulti.ua/dvd-blueray/pult-dlja-lg-akb72976002")</f>
        <v>https://pulti.ua/dvd-blueray/pult-dlja-lg-akb72976002</v>
      </c>
    </row>
    <row r="1254" spans="1:8" s="18" customFormat="1" ht="15" customHeight="1">
      <c r="A1254" s="11">
        <v>2254</v>
      </c>
      <c r="B1254" s="12" t="s">
        <v>1148</v>
      </c>
      <c r="C1254" s="13" t="s">
        <v>1086</v>
      </c>
      <c r="D1254" s="14"/>
      <c r="E1254" s="9">
        <v>112.5</v>
      </c>
      <c r="F1254" s="9">
        <f t="shared" si="40"/>
        <v>0</v>
      </c>
      <c r="G1254" s="13"/>
      <c r="H1254" s="14" t="str">
        <f>HYPERLINK("https://pulti.ua/dvd-blueray/pult-dlja-meredian-drc-601")</f>
        <v>https://pulti.ua/dvd-blueray/pult-dlja-meredian-drc-601</v>
      </c>
    </row>
    <row r="1255" spans="1:8" s="18" customFormat="1" ht="15" customHeight="1">
      <c r="A1255" s="11">
        <v>2251</v>
      </c>
      <c r="B1255" s="12" t="s">
        <v>1149</v>
      </c>
      <c r="C1255" s="13" t="s">
        <v>1086</v>
      </c>
      <c r="D1255" s="14"/>
      <c r="E1255" s="9">
        <v>82.5</v>
      </c>
      <c r="F1255" s="9">
        <f t="shared" si="40"/>
        <v>0</v>
      </c>
      <c r="G1255" s="13"/>
      <c r="H1255" s="14" t="str">
        <f>HYPERLINK("https://pulti.ua/dvd-blueray/pult-dlja-meredian-dvd-201a")</f>
        <v>https://pulti.ua/dvd-blueray/pult-dlja-meredian-dvd-201a</v>
      </c>
    </row>
    <row r="1256" spans="1:8" s="18" customFormat="1" ht="15" customHeight="1">
      <c r="A1256" s="11">
        <v>2252</v>
      </c>
      <c r="B1256" s="12" t="s">
        <v>1150</v>
      </c>
      <c r="C1256" s="13" t="s">
        <v>1086</v>
      </c>
      <c r="D1256" s="14"/>
      <c r="E1256" s="9">
        <v>71.3</v>
      </c>
      <c r="F1256" s="9">
        <f t="shared" si="40"/>
        <v>0</v>
      </c>
      <c r="G1256" s="13"/>
      <c r="H1256" s="14" t="str">
        <f>HYPERLINK("https://pulti.ua/dvd-blueray/pult-dlja-meredian-dvd-202-203")</f>
        <v>https://pulti.ua/dvd-blueray/pult-dlja-meredian-dvd-202-203</v>
      </c>
    </row>
    <row r="1257" spans="1:8" s="18" customFormat="1" ht="15" customHeight="1">
      <c r="A1257" s="11">
        <v>2253</v>
      </c>
      <c r="B1257" s="12" t="s">
        <v>1151</v>
      </c>
      <c r="C1257" s="13" t="s">
        <v>1086</v>
      </c>
      <c r="D1257" s="14"/>
      <c r="E1257" s="9">
        <v>82.5</v>
      </c>
      <c r="F1257" s="9">
        <f aca="true" t="shared" si="41" ref="F1257:F1320">D1257*E1257</f>
        <v>0</v>
      </c>
      <c r="G1257" s="13"/>
      <c r="H1257" s="14" t="str">
        <f>HYPERLINK("https://pulti.ua/dvd-blueray/pult-dlja-meredian-dvd-501-502")</f>
        <v>https://pulti.ua/dvd-blueray/pult-dlja-meredian-dvd-501-502</v>
      </c>
    </row>
    <row r="1258" spans="1:8" s="18" customFormat="1" ht="15" customHeight="1">
      <c r="A1258" s="11">
        <v>2939</v>
      </c>
      <c r="B1258" s="12" t="s">
        <v>1152</v>
      </c>
      <c r="C1258" s="13" t="s">
        <v>1086</v>
      </c>
      <c r="D1258" s="14"/>
      <c r="E1258" s="9">
        <v>71.3</v>
      </c>
      <c r="F1258" s="9">
        <f t="shared" si="41"/>
        <v>0</v>
      </c>
      <c r="G1258" s="13"/>
      <c r="H1258" s="14" t="str">
        <f>HYPERLINK("https://pulti.ua/dvd-blueray/pult-dlja-meredian-dvp-204h")</f>
        <v>https://pulti.ua/dvd-blueray/pult-dlja-meredian-dvp-204h</v>
      </c>
    </row>
    <row r="1259" spans="1:8" s="18" customFormat="1" ht="15" customHeight="1">
      <c r="A1259" s="11">
        <v>2257</v>
      </c>
      <c r="B1259" s="12" t="s">
        <v>1153</v>
      </c>
      <c r="C1259" s="13" t="s">
        <v>1086</v>
      </c>
      <c r="D1259" s="14"/>
      <c r="E1259" s="9">
        <v>127.5</v>
      </c>
      <c r="F1259" s="9">
        <f t="shared" si="41"/>
        <v>0</v>
      </c>
      <c r="G1259" s="13"/>
      <c r="H1259" s="14" t="str">
        <f>HYPERLINK("https://pulti.ua/dvd-blueray/pult-dlja-mustek-dvd-rm-6005-noc")</f>
        <v>https://pulti.ua/dvd-blueray/pult-dlja-mustek-dvd-rm-6005-noc</v>
      </c>
    </row>
    <row r="1260" spans="1:8" s="18" customFormat="1" ht="15" customHeight="1">
      <c r="A1260" s="11">
        <v>2258</v>
      </c>
      <c r="B1260" s="12" t="s">
        <v>1154</v>
      </c>
      <c r="C1260" s="13" t="s">
        <v>1086</v>
      </c>
      <c r="D1260" s="14"/>
      <c r="E1260" s="9">
        <v>67.5</v>
      </c>
      <c r="F1260" s="9">
        <f t="shared" si="41"/>
        <v>0</v>
      </c>
      <c r="G1260" s="13"/>
      <c r="H1260" s="14" t="str">
        <f>HYPERLINK("https://pulti.ua/dvd-blueray/pult-dlja-mustek-rc-mtk")</f>
        <v>https://pulti.ua/dvd-blueray/pult-dlja-mustek-rc-mtk</v>
      </c>
    </row>
    <row r="1261" spans="1:8" s="18" customFormat="1" ht="15" customHeight="1">
      <c r="A1261" s="11">
        <v>2260</v>
      </c>
      <c r="B1261" s="12" t="s">
        <v>1155</v>
      </c>
      <c r="C1261" s="13" t="s">
        <v>1086</v>
      </c>
      <c r="D1261" s="14"/>
      <c r="E1261" s="9">
        <v>67.5</v>
      </c>
      <c r="F1261" s="9">
        <f t="shared" si="41"/>
        <v>0</v>
      </c>
      <c r="G1261" s="13"/>
      <c r="H1261" s="14" t="str">
        <f>HYPERLINK("https://pulti.ua/dvd-blueray/pult-dlja-nash-7100")</f>
        <v>https://pulti.ua/dvd-blueray/pult-dlja-nash-7100</v>
      </c>
    </row>
    <row r="1262" spans="1:8" s="18" customFormat="1" ht="15" customHeight="1">
      <c r="A1262" s="11">
        <v>2262</v>
      </c>
      <c r="B1262" s="12" t="s">
        <v>1156</v>
      </c>
      <c r="C1262" s="13" t="s">
        <v>1086</v>
      </c>
      <c r="D1262" s="14"/>
      <c r="E1262" s="9">
        <v>120</v>
      </c>
      <c r="F1262" s="9">
        <f t="shared" si="41"/>
        <v>0</v>
      </c>
      <c r="G1262" s="13"/>
      <c r="H1262" s="14" t="str">
        <f>HYPERLINK("https://pulti.ua/dvd-blueray/pult-dlja-nash-zx-sp8200")</f>
        <v>https://pulti.ua/dvd-blueray/pult-dlja-nash-zx-sp8200</v>
      </c>
    </row>
    <row r="1263" spans="1:8" s="18" customFormat="1" ht="15" customHeight="1">
      <c r="A1263" s="11">
        <v>2267</v>
      </c>
      <c r="B1263" s="12" t="s">
        <v>1157</v>
      </c>
      <c r="C1263" s="13" t="s">
        <v>1086</v>
      </c>
      <c r="D1263" s="14"/>
      <c r="E1263" s="9">
        <v>63.8</v>
      </c>
      <c r="F1263" s="9">
        <f t="shared" si="41"/>
        <v>0</v>
      </c>
      <c r="G1263" s="13"/>
      <c r="H1263" s="14" t="str">
        <f>HYPERLINK("https://pulti.ua/dvd-blueray/pult-dlja-odeon-dvp-720")</f>
        <v>https://pulti.ua/dvd-blueray/pult-dlja-odeon-dvp-720</v>
      </c>
    </row>
    <row r="1264" spans="1:8" s="18" customFormat="1" ht="15" customHeight="1">
      <c r="A1264" s="11">
        <v>2263</v>
      </c>
      <c r="B1264" s="12" t="s">
        <v>1158</v>
      </c>
      <c r="C1264" s="13" t="s">
        <v>1086</v>
      </c>
      <c r="D1264" s="14"/>
      <c r="E1264" s="9">
        <v>63.8</v>
      </c>
      <c r="F1264" s="9">
        <f t="shared" si="41"/>
        <v>0</v>
      </c>
      <c r="G1264" s="13"/>
      <c r="H1264" s="14" t="str">
        <f>HYPERLINK("https://pulti.ua/dvd-blueray/pult-dlja-oniks-fyt-9943")</f>
        <v>https://pulti.ua/dvd-blueray/pult-dlja-oniks-fyt-9943</v>
      </c>
    </row>
    <row r="1265" spans="1:8" s="18" customFormat="1" ht="15" customHeight="1">
      <c r="A1265" s="11">
        <v>2268</v>
      </c>
      <c r="B1265" s="12" t="s">
        <v>1159</v>
      </c>
      <c r="C1265" s="13" t="s">
        <v>1086</v>
      </c>
      <c r="D1265" s="14"/>
      <c r="E1265" s="9">
        <v>75</v>
      </c>
      <c r="F1265" s="9">
        <f t="shared" si="41"/>
        <v>0</v>
      </c>
      <c r="G1265" s="13"/>
      <c r="H1265" s="14" t="str">
        <f>HYPERLINK("https://pulti.ua/dvd-blueray/pult-dlja-orion-dvd2-2407")</f>
        <v>https://pulti.ua/dvd-blueray/pult-dlja-orion-dvd2-2407</v>
      </c>
    </row>
    <row r="1266" spans="1:8" s="18" customFormat="1" ht="15" customHeight="1">
      <c r="A1266" s="11">
        <v>2270</v>
      </c>
      <c r="B1266" s="12" t="s">
        <v>1160</v>
      </c>
      <c r="C1266" s="13" t="s">
        <v>1086</v>
      </c>
      <c r="D1266" s="14"/>
      <c r="E1266" s="9">
        <v>63.8</v>
      </c>
      <c r="F1266" s="9">
        <f t="shared" si="41"/>
        <v>0</v>
      </c>
      <c r="G1266" s="13"/>
      <c r="H1266" s="14" t="str">
        <f>HYPERLINK("https://pulti.ua/dvd-blueray/pult-dlja-orion-dvd-707e")</f>
        <v>https://pulti.ua/dvd-blueray/pult-dlja-orion-dvd-707e</v>
      </c>
    </row>
    <row r="1267" spans="1:8" s="18" customFormat="1" ht="15" customHeight="1">
      <c r="A1267" s="11">
        <v>2271</v>
      </c>
      <c r="B1267" s="12" t="s">
        <v>1161</v>
      </c>
      <c r="C1267" s="13" t="s">
        <v>1095</v>
      </c>
      <c r="D1267" s="14"/>
      <c r="E1267" s="9">
        <v>90</v>
      </c>
      <c r="F1267" s="9">
        <f t="shared" si="41"/>
        <v>0</v>
      </c>
      <c r="G1267" s="13"/>
      <c r="H1267" s="14" t="str">
        <f>HYPERLINK("https://pulti.ua/domashnie-kinoteatry/pult-dlja-orion-ht-831")</f>
        <v>https://pulti.ua/domashnie-kinoteatry/pult-dlja-orion-ht-831</v>
      </c>
    </row>
    <row r="1268" spans="1:8" s="18" customFormat="1" ht="15" customHeight="1">
      <c r="A1268" s="11">
        <v>2277</v>
      </c>
      <c r="B1268" s="12" t="s">
        <v>1438</v>
      </c>
      <c r="C1268" s="13" t="s">
        <v>1106</v>
      </c>
      <c r="D1268" s="14"/>
      <c r="E1268" s="9">
        <v>63.8</v>
      </c>
      <c r="F1268" s="9">
        <f t="shared" si="41"/>
        <v>0</v>
      </c>
      <c r="G1268" s="13"/>
      <c r="H1268" s="14" t="str">
        <f>HYPERLINK("https://pulti.ua/domashnie-kinoteatry/pult-dlja-panasonic-eur7711150")</f>
        <v>https://pulti.ua/domashnie-kinoteatry/pult-dlja-panasonic-eur7711150</v>
      </c>
    </row>
    <row r="1269" spans="1:8" s="18" customFormat="1" ht="15" customHeight="1">
      <c r="A1269" s="39">
        <v>2278</v>
      </c>
      <c r="B1269" s="26" t="s">
        <v>1162</v>
      </c>
      <c r="C1269" s="13" t="s">
        <v>1095</v>
      </c>
      <c r="D1269" s="14"/>
      <c r="E1269" s="9">
        <v>168.8</v>
      </c>
      <c r="F1269" s="9">
        <f t="shared" si="41"/>
        <v>0</v>
      </c>
      <c r="G1269" s="13"/>
      <c r="H1269" s="14" t="str">
        <f>HYPERLINK("https://pulti.ua/domashnie-kinoteatry/pult-dlja-panasonic-eur7722040")</f>
        <v>https://pulti.ua/domashnie-kinoteatry/pult-dlja-panasonic-eur7722040</v>
      </c>
    </row>
    <row r="1270" spans="1:8" s="18" customFormat="1" ht="15" customHeight="1">
      <c r="A1270" s="39">
        <v>2280</v>
      </c>
      <c r="B1270" s="26" t="s">
        <v>1163</v>
      </c>
      <c r="C1270" s="13" t="s">
        <v>1095</v>
      </c>
      <c r="D1270" s="14"/>
      <c r="E1270" s="9">
        <v>168.8</v>
      </c>
      <c r="F1270" s="9">
        <f t="shared" si="41"/>
        <v>0</v>
      </c>
      <c r="G1270" s="13"/>
      <c r="H1270" s="14" t="str">
        <f>HYPERLINK("https://pulti.ua/domashnie-kinoteatry/pult-dlja-panasonic-eur7722xeo")</f>
        <v>https://pulti.ua/domashnie-kinoteatry/pult-dlja-panasonic-eur7722xeo</v>
      </c>
    </row>
    <row r="1271" spans="1:8" s="18" customFormat="1" ht="15" customHeight="1">
      <c r="A1271" s="39">
        <v>2282</v>
      </c>
      <c r="B1271" s="26" t="s">
        <v>1164</v>
      </c>
      <c r="C1271" s="13" t="s">
        <v>1106</v>
      </c>
      <c r="D1271" s="14"/>
      <c r="E1271" s="9">
        <v>161.3</v>
      </c>
      <c r="F1271" s="9">
        <f t="shared" si="41"/>
        <v>0</v>
      </c>
      <c r="G1271" s="13"/>
      <c r="H1271" s="14" t="str">
        <f>HYPERLINK("https://pulti.ua/domashnie-kinoteatry/pult-dlja-panasonic-n2qahb000064")</f>
        <v>https://pulti.ua/domashnie-kinoteatry/pult-dlja-panasonic-n2qahb000064</v>
      </c>
    </row>
    <row r="1272" spans="1:8" s="18" customFormat="1" ht="15" customHeight="1">
      <c r="A1272" s="39">
        <v>2286</v>
      </c>
      <c r="B1272" s="26" t="s">
        <v>1165</v>
      </c>
      <c r="C1272" s="13" t="s">
        <v>1095</v>
      </c>
      <c r="D1272" s="14"/>
      <c r="E1272" s="9">
        <v>150</v>
      </c>
      <c r="F1272" s="9">
        <f t="shared" si="41"/>
        <v>0</v>
      </c>
      <c r="G1272" s="13"/>
      <c r="H1272" s="14" t="str">
        <f>HYPERLINK("https://pulti.ua/domashnie-kinoteatry/pult-dlja-panasonic-n2qajb0000142")</f>
        <v>https://pulti.ua/domashnie-kinoteatry/pult-dlja-panasonic-n2qajb0000142</v>
      </c>
    </row>
    <row r="1273" spans="1:8" s="18" customFormat="1" ht="15" customHeight="1">
      <c r="A1273" s="39">
        <v>2287</v>
      </c>
      <c r="B1273" s="26" t="s">
        <v>1166</v>
      </c>
      <c r="C1273" s="13" t="s">
        <v>1086</v>
      </c>
      <c r="D1273" s="14"/>
      <c r="E1273" s="9">
        <v>161.3</v>
      </c>
      <c r="F1273" s="9">
        <f t="shared" si="41"/>
        <v>0</v>
      </c>
      <c r="G1273" s="13"/>
      <c r="H1273" s="14" t="str">
        <f>HYPERLINK("https://pulti.ua/dvd-blueray/pult-dlja-panasonic-n2qayb000006")</f>
        <v>https://pulti.ua/dvd-blueray/pult-dlja-panasonic-n2qayb000006</v>
      </c>
    </row>
    <row r="1274" spans="1:8" s="18" customFormat="1" ht="15" customHeight="1">
      <c r="A1274" s="39">
        <v>2289</v>
      </c>
      <c r="B1274" s="26" t="s">
        <v>1167</v>
      </c>
      <c r="C1274" s="13" t="s">
        <v>1106</v>
      </c>
      <c r="D1274" s="14"/>
      <c r="E1274" s="9">
        <v>165</v>
      </c>
      <c r="F1274" s="9">
        <f t="shared" si="41"/>
        <v>0</v>
      </c>
      <c r="G1274" s="13"/>
      <c r="H1274" s="14" t="str">
        <f>HYPERLINK("https://pulti.ua/domashnie-kinoteatry/pult-dlja-panasonic-n2qayb000281")</f>
        <v>https://pulti.ua/domashnie-kinoteatry/pult-dlja-panasonic-n2qayb000281</v>
      </c>
    </row>
    <row r="1275" spans="1:8" s="18" customFormat="1" ht="15" customHeight="1">
      <c r="A1275" s="39">
        <v>2290</v>
      </c>
      <c r="B1275" s="26" t="s">
        <v>1168</v>
      </c>
      <c r="C1275" s="13" t="s">
        <v>1086</v>
      </c>
      <c r="D1275" s="14"/>
      <c r="E1275" s="9">
        <v>120</v>
      </c>
      <c r="F1275" s="9">
        <f t="shared" si="41"/>
        <v>0</v>
      </c>
      <c r="G1275" s="13"/>
      <c r="H1275" s="14" t="str">
        <f>HYPERLINK("https://pulti.ua/dvd-blueray/pult-dlja-panasonic-veq2392")</f>
        <v>https://pulti.ua/dvd-blueray/pult-dlja-panasonic-veq2392</v>
      </c>
    </row>
    <row r="1276" spans="1:8" s="18" customFormat="1" ht="15" customHeight="1">
      <c r="A1276" s="39">
        <v>2298</v>
      </c>
      <c r="B1276" s="26" t="s">
        <v>1169</v>
      </c>
      <c r="C1276" s="13" t="s">
        <v>1095</v>
      </c>
      <c r="D1276" s="14"/>
      <c r="E1276" s="9">
        <v>153.8</v>
      </c>
      <c r="F1276" s="9">
        <f t="shared" si="41"/>
        <v>0</v>
      </c>
      <c r="G1276" s="13"/>
      <c r="H1276" s="14" t="str">
        <f>HYPERLINK("https://pulti.ua/domashnie-kinoteatry/pult-dlja-philips--2422-5490-0902")</f>
        <v>https://pulti.ua/domashnie-kinoteatry/pult-dlja-philips--2422-5490-0902</v>
      </c>
    </row>
    <row r="1277" spans="1:8" s="18" customFormat="1" ht="15" customHeight="1">
      <c r="A1277" s="39">
        <v>2299</v>
      </c>
      <c r="B1277" s="26" t="s">
        <v>1170</v>
      </c>
      <c r="C1277" s="13" t="s">
        <v>1086</v>
      </c>
      <c r="D1277" s="14"/>
      <c r="E1277" s="9">
        <v>168.8</v>
      </c>
      <c r="F1277" s="9">
        <f t="shared" si="41"/>
        <v>0</v>
      </c>
      <c r="G1277" s="13"/>
      <c r="H1277" s="14" t="str">
        <f>HYPERLINK("https://pulti.ua/dvd-blueray/pult-dlja-philips-2422-5490-0903")</f>
        <v>https://pulti.ua/dvd-blueray/pult-dlja-philips-2422-5490-0903</v>
      </c>
    </row>
    <row r="1278" spans="1:8" s="18" customFormat="1" ht="15" customHeight="1">
      <c r="A1278" s="39">
        <v>2301</v>
      </c>
      <c r="B1278" s="26" t="s">
        <v>1171</v>
      </c>
      <c r="C1278" s="13" t="s">
        <v>1172</v>
      </c>
      <c r="D1278" s="14"/>
      <c r="E1278" s="9">
        <v>206.3</v>
      </c>
      <c r="F1278" s="9">
        <f t="shared" si="41"/>
        <v>0</v>
      </c>
      <c r="G1278" s="13"/>
      <c r="H1278" s="14" t="str">
        <f>HYPERLINK("https://pulti.ua/dvd-blueray/pult-dlja-philips-2422-5490-1504")</f>
        <v>https://pulti.ua/dvd-blueray/pult-dlja-philips-2422-5490-1504</v>
      </c>
    </row>
    <row r="1279" spans="1:8" s="18" customFormat="1" ht="15" customHeight="1">
      <c r="A1279" s="39">
        <v>2310</v>
      </c>
      <c r="B1279" s="26" t="s">
        <v>1173</v>
      </c>
      <c r="C1279" s="13" t="s">
        <v>1106</v>
      </c>
      <c r="D1279" s="14"/>
      <c r="E1279" s="9">
        <v>161.3</v>
      </c>
      <c r="F1279" s="9">
        <f t="shared" si="41"/>
        <v>0</v>
      </c>
      <c r="G1279" s="13"/>
      <c r="H1279" s="14" t="str">
        <f>HYPERLINK("https://pulti.ua/domashnie-kinoteatry/pult-dlja-philips-rc203431101---ipod-bluetooth")</f>
        <v>https://pulti.ua/domashnie-kinoteatry/pult-dlja-philips-rc203431101---ipod-bluetooth</v>
      </c>
    </row>
    <row r="1280" spans="1:8" s="18" customFormat="1" ht="15" customHeight="1">
      <c r="A1280" s="39">
        <v>2313</v>
      </c>
      <c r="B1280" s="26" t="s">
        <v>1174</v>
      </c>
      <c r="C1280" s="13" t="s">
        <v>1086</v>
      </c>
      <c r="D1280" s="14"/>
      <c r="E1280" s="9">
        <v>93.8</v>
      </c>
      <c r="F1280" s="9">
        <f t="shared" si="41"/>
        <v>0</v>
      </c>
      <c r="G1280" s="13"/>
      <c r="H1280" s="14" t="str">
        <f>HYPERLINK("https://pulti.ua/dvd-blueray/pult-dlja-philips-rc-2k16")</f>
        <v>https://pulti.ua/dvd-blueray/pult-dlja-philips-rc-2k16</v>
      </c>
    </row>
    <row r="1281" spans="1:8" s="18" customFormat="1" ht="15" customHeight="1">
      <c r="A1281" s="39">
        <v>2322</v>
      </c>
      <c r="B1281" s="26" t="s">
        <v>1175</v>
      </c>
      <c r="C1281" s="13" t="s">
        <v>1086</v>
      </c>
      <c r="D1281" s="14"/>
      <c r="E1281" s="9">
        <v>56.3</v>
      </c>
      <c r="F1281" s="9">
        <f t="shared" si="41"/>
        <v>0</v>
      </c>
      <c r="G1281" s="13"/>
      <c r="H1281" s="14" t="str">
        <f>HYPERLINK("https://pulti.ua/dvd-blueray/pult-dlja-pioneer-vxx3048")</f>
        <v>https://pulti.ua/dvd-blueray/pult-dlja-pioneer-vxx3048</v>
      </c>
    </row>
    <row r="1282" spans="1:8" s="18" customFormat="1" ht="15" customHeight="1">
      <c r="A1282" s="11">
        <v>2343</v>
      </c>
      <c r="B1282" s="12" t="s">
        <v>1176</v>
      </c>
      <c r="C1282" s="13" t="s">
        <v>1086</v>
      </c>
      <c r="D1282" s="14"/>
      <c r="E1282" s="9">
        <v>101.3</v>
      </c>
      <c r="F1282" s="9">
        <f t="shared" si="41"/>
        <v>0</v>
      </c>
      <c r="G1282" s="13"/>
      <c r="H1282" s="14" t="str">
        <f>HYPERLINK("https://pulti.ua/dvd-blueray/pult-dlja-pioneer--da-01-wg-3700-1")</f>
        <v>https://pulti.ua/dvd-blueray/pult-dlja-pioneer--da-01-wg-3700-1</v>
      </c>
    </row>
    <row r="1283" spans="1:8" s="18" customFormat="1" ht="15" customHeight="1">
      <c r="A1283" s="11">
        <v>1947</v>
      </c>
      <c r="B1283" s="12" t="s">
        <v>1177</v>
      </c>
      <c r="C1283" s="13" t="s">
        <v>1086</v>
      </c>
      <c r="D1283" s="14"/>
      <c r="E1283" s="9">
        <v>37.5</v>
      </c>
      <c r="F1283" s="9">
        <f t="shared" si="41"/>
        <v>0</v>
      </c>
      <c r="G1283" s="13"/>
      <c r="H1283" s="14" t="str">
        <f>HYPERLINK("https://pulti.ua/dvd-blueray/pult-dlja-pioneer-dv-2000-noc")</f>
        <v>https://pulti.ua/dvd-blueray/pult-dlja-pioneer-dv-2000-noc</v>
      </c>
    </row>
    <row r="1284" spans="1:8" s="18" customFormat="1" ht="15" customHeight="1">
      <c r="A1284" s="11">
        <v>2346</v>
      </c>
      <c r="B1284" s="12" t="s">
        <v>1439</v>
      </c>
      <c r="C1284" s="13" t="s">
        <v>1086</v>
      </c>
      <c r="D1284" s="14"/>
      <c r="E1284" s="9">
        <v>71.3</v>
      </c>
      <c r="F1284" s="9">
        <f t="shared" si="41"/>
        <v>0</v>
      </c>
      <c r="G1284" s="13"/>
      <c r="H1284" s="14" t="str">
        <f>HYPERLINK("https://pulti.ua/dvd-blueray/pult-dlja-pioneer-dv-2000")</f>
        <v>https://pulti.ua/dvd-blueray/pult-dlja-pioneer-dv-2000</v>
      </c>
    </row>
    <row r="1285" spans="1:8" s="18" customFormat="1" ht="15" customHeight="1">
      <c r="A1285" s="11">
        <v>2347</v>
      </c>
      <c r="B1285" s="12" t="s">
        <v>1178</v>
      </c>
      <c r="C1285" s="13" t="s">
        <v>1086</v>
      </c>
      <c r="D1285" s="14"/>
      <c r="E1285" s="9">
        <v>75</v>
      </c>
      <c r="F1285" s="9">
        <f t="shared" si="41"/>
        <v>0</v>
      </c>
      <c r="G1285" s="13"/>
      <c r="H1285" s="14" t="str">
        <f>HYPERLINK("https://pulti.ua/dvd-blueray/pult-dlja-pioneer--dv-2001-noc")</f>
        <v>https://pulti.ua/dvd-blueray/pult-dlja-pioneer--dv-2001-noc</v>
      </c>
    </row>
    <row r="1286" spans="1:8" s="18" customFormat="1" ht="15" customHeight="1">
      <c r="A1286" s="11">
        <v>2348</v>
      </c>
      <c r="B1286" s="12" t="s">
        <v>1179</v>
      </c>
      <c r="C1286" s="13" t="s">
        <v>1086</v>
      </c>
      <c r="D1286" s="14"/>
      <c r="E1286" s="9">
        <v>60</v>
      </c>
      <c r="F1286" s="9">
        <f t="shared" si="41"/>
        <v>0</v>
      </c>
      <c r="G1286" s="13"/>
      <c r="H1286" s="14" t="str">
        <f>HYPERLINK("https://pulti.ua/dvd-blueray/pult-dlja-pioneer--dv-2002")</f>
        <v>https://pulti.ua/dvd-blueray/pult-dlja-pioneer--dv-2002</v>
      </c>
    </row>
    <row r="1287" spans="1:8" s="18" customFormat="1" ht="15" customHeight="1">
      <c r="A1287" s="11">
        <v>2352</v>
      </c>
      <c r="B1287" s="12" t="s">
        <v>1180</v>
      </c>
      <c r="C1287" s="13" t="s">
        <v>1086</v>
      </c>
      <c r="D1287" s="14"/>
      <c r="E1287" s="9">
        <v>108.8</v>
      </c>
      <c r="F1287" s="9">
        <f t="shared" si="41"/>
        <v>0</v>
      </c>
      <c r="G1287" s="13"/>
      <c r="H1287" s="14" t="str">
        <f>HYPERLINK("https://pulti.ua/dvd-blueray/pult-dlja-pioneer--dv-2009")</f>
        <v>https://pulti.ua/dvd-blueray/pult-dlja-pioneer--dv-2009</v>
      </c>
    </row>
    <row r="1288" spans="1:8" s="18" customFormat="1" ht="15" customHeight="1">
      <c r="A1288" s="11">
        <v>2355</v>
      </c>
      <c r="B1288" s="12" t="s">
        <v>1181</v>
      </c>
      <c r="C1288" s="13" t="s">
        <v>1086</v>
      </c>
      <c r="D1288" s="14"/>
      <c r="E1288" s="9">
        <v>123.8</v>
      </c>
      <c r="F1288" s="9">
        <f t="shared" si="41"/>
        <v>0</v>
      </c>
      <c r="G1288" s="13"/>
      <c r="H1288" s="14" t="str">
        <f>HYPERLINK("https://pulti.ua/dvd-blueray/pult-dlja-polar---dv-3030")</f>
        <v>https://pulti.ua/dvd-blueray/pult-dlja-polar---dv-3030</v>
      </c>
    </row>
    <row r="1289" spans="1:8" s="18" customFormat="1" ht="15" customHeight="1">
      <c r="A1289" s="11">
        <v>2356</v>
      </c>
      <c r="B1289" s="12" t="s">
        <v>1182</v>
      </c>
      <c r="C1289" s="13" t="s">
        <v>1086</v>
      </c>
      <c r="D1289" s="14"/>
      <c r="E1289" s="9">
        <v>123.8</v>
      </c>
      <c r="F1289" s="9">
        <f t="shared" si="41"/>
        <v>0</v>
      </c>
      <c r="G1289" s="13"/>
      <c r="H1289" s="14" t="str">
        <f>HYPERLINK("https://pulti.ua/dvd-blueray/pult-dlja-polar--yx-10350a")</f>
        <v>https://pulti.ua/dvd-blueray/pult-dlja-polar--yx-10350a</v>
      </c>
    </row>
    <row r="1290" spans="1:8" s="18" customFormat="1" ht="15" customHeight="1">
      <c r="A1290" s="11">
        <v>2358</v>
      </c>
      <c r="B1290" s="12" t="s">
        <v>1183</v>
      </c>
      <c r="C1290" s="13" t="s">
        <v>1086</v>
      </c>
      <c r="D1290" s="14"/>
      <c r="E1290" s="9">
        <v>112.5</v>
      </c>
      <c r="F1290" s="9">
        <f t="shared" si="41"/>
        <v>0</v>
      </c>
      <c r="G1290" s="13"/>
      <c r="H1290" s="14" t="str">
        <f>HYPERLINK("https://pulti.ua/dvd-blueray/pult-dlja-rainford-300")</f>
        <v>https://pulti.ua/dvd-blueray/pult-dlja-rainford-300</v>
      </c>
    </row>
    <row r="1291" spans="1:8" s="18" customFormat="1" ht="15" customHeight="1">
      <c r="A1291" s="11">
        <v>2362</v>
      </c>
      <c r="B1291" s="12" t="s">
        <v>1184</v>
      </c>
      <c r="C1291" s="13" t="s">
        <v>1095</v>
      </c>
      <c r="D1291" s="14"/>
      <c r="E1291" s="9">
        <v>82.5</v>
      </c>
      <c r="F1291" s="9">
        <f t="shared" si="41"/>
        <v>0</v>
      </c>
      <c r="G1291" s="13"/>
      <c r="H1291" s="14" t="str">
        <f>HYPERLINK("https://pulti.ua/domashnie-kinoteatry/pult-dlja-rainford-dvd-31xx-10932")</f>
        <v>https://pulti.ua/domashnie-kinoteatry/pult-dlja-rainford-dvd-31xx-10932</v>
      </c>
    </row>
    <row r="1292" spans="1:8" s="18" customFormat="1" ht="15" customHeight="1">
      <c r="A1292" s="11">
        <v>2365</v>
      </c>
      <c r="B1292" s="12" t="s">
        <v>1185</v>
      </c>
      <c r="C1292" s="13" t="s">
        <v>1086</v>
      </c>
      <c r="D1292" s="14"/>
      <c r="E1292" s="9">
        <v>93.8</v>
      </c>
      <c r="F1292" s="9">
        <f t="shared" si="41"/>
        <v>0</v>
      </c>
      <c r="G1292" s="13"/>
      <c r="H1292" s="14" t="str">
        <f>HYPERLINK("https://pulti.ua/dvd-blueray/pult-dlja-rainford-km-618-noc")</f>
        <v>https://pulti.ua/dvd-blueray/pult-dlja-rainford-km-618-noc</v>
      </c>
    </row>
    <row r="1293" spans="1:8" s="18" customFormat="1" ht="15" customHeight="1">
      <c r="A1293" s="11">
        <v>2367</v>
      </c>
      <c r="B1293" s="12" t="s">
        <v>1186</v>
      </c>
      <c r="C1293" s="13" t="s">
        <v>1086</v>
      </c>
      <c r="D1293" s="14"/>
      <c r="E1293" s="9">
        <v>36.4</v>
      </c>
      <c r="F1293" s="9">
        <f t="shared" si="41"/>
        <v>0</v>
      </c>
      <c r="G1293" s="13"/>
      <c r="H1293" s="14" t="str">
        <f>HYPERLINK("https://pulti.ua/dvd-blueray/pult-dlja-reellex-dc-8220-program")</f>
        <v>https://pulti.ua/dvd-blueray/pult-dlja-reellex-dc-8220-program</v>
      </c>
    </row>
    <row r="1294" spans="1:8" s="18" customFormat="1" ht="15" customHeight="1">
      <c r="A1294" s="11">
        <v>2368</v>
      </c>
      <c r="B1294" s="12" t="s">
        <v>1187</v>
      </c>
      <c r="C1294" s="13" t="s">
        <v>1086</v>
      </c>
      <c r="D1294" s="14"/>
      <c r="E1294" s="9">
        <v>82.5</v>
      </c>
      <c r="F1294" s="9">
        <f t="shared" si="41"/>
        <v>0</v>
      </c>
      <c r="G1294" s="13"/>
      <c r="H1294" s="14" t="str">
        <f>HYPERLINK("https://pulti.ua/dvd-blueray/pult-dlja-reellex-dc-8510-bookmark")</f>
        <v>https://pulti.ua/dvd-blueray/pult-dlja-reellex-dc-8510-bookmark</v>
      </c>
    </row>
    <row r="1295" spans="1:8" s="18" customFormat="1" ht="15" customHeight="1">
      <c r="A1295" s="11">
        <v>2369</v>
      </c>
      <c r="B1295" s="12" t="s">
        <v>1188</v>
      </c>
      <c r="C1295" s="13" t="s">
        <v>1086</v>
      </c>
      <c r="D1295" s="14"/>
      <c r="E1295" s="9">
        <v>71.3</v>
      </c>
      <c r="F1295" s="9">
        <f t="shared" si="41"/>
        <v>0</v>
      </c>
      <c r="G1295" s="13"/>
      <c r="H1295" s="14" t="str">
        <f>HYPERLINK("https://pulti.ua/dvd-blueray/pult-dlja-reellex-dc-8535")</f>
        <v>https://pulti.ua/dvd-blueray/pult-dlja-reellex-dc-8535</v>
      </c>
    </row>
    <row r="1296" spans="1:8" s="18" customFormat="1" ht="15" customHeight="1">
      <c r="A1296" s="11">
        <v>2370</v>
      </c>
      <c r="B1296" s="12" t="s">
        <v>1189</v>
      </c>
      <c r="C1296" s="13" t="s">
        <v>1086</v>
      </c>
      <c r="D1296" s="14"/>
      <c r="E1296" s="9">
        <v>71.3</v>
      </c>
      <c r="F1296" s="9">
        <f t="shared" si="41"/>
        <v>0</v>
      </c>
      <c r="G1296" s="13"/>
      <c r="H1296" s="14" t="str">
        <f>HYPERLINK("https://pulti.ua/dvd-blueray/pult-dlja-reellex-dc-8542")</f>
        <v>https://pulti.ua/dvd-blueray/pult-dlja-reellex-dc-8542</v>
      </c>
    </row>
    <row r="1297" spans="1:8" s="18" customFormat="1" ht="15" customHeight="1">
      <c r="A1297" s="11">
        <v>2372</v>
      </c>
      <c r="B1297" s="12" t="s">
        <v>1190</v>
      </c>
      <c r="C1297" s="13" t="s">
        <v>1086</v>
      </c>
      <c r="D1297" s="14"/>
      <c r="E1297" s="9">
        <v>127.5</v>
      </c>
      <c r="F1297" s="9">
        <f t="shared" si="41"/>
        <v>0</v>
      </c>
      <c r="G1297" s="13"/>
      <c r="H1297" s="14" t="str">
        <f>HYPERLINK("https://pulti.ua/dvd-blueray/pult-dlja-rolsen-e6900-x005a")</f>
        <v>https://pulti.ua/dvd-blueray/pult-dlja-rolsen-e6900-x005a</v>
      </c>
    </row>
    <row r="1298" spans="1:8" s="18" customFormat="1" ht="15" customHeight="1">
      <c r="A1298" s="11">
        <v>1997</v>
      </c>
      <c r="B1298" s="12" t="s">
        <v>1191</v>
      </c>
      <c r="C1298" s="13" t="s">
        <v>1086</v>
      </c>
      <c r="D1298" s="14"/>
      <c r="E1298" s="9">
        <v>101.3</v>
      </c>
      <c r="F1298" s="9">
        <f t="shared" si="41"/>
        <v>0</v>
      </c>
      <c r="G1298" s="13"/>
      <c r="H1298" s="14" t="str">
        <f>HYPERLINK("https://pulti.ua/pultyi-dlya-audio-i-video-tehniki/dvd-blueray/pult-dlya-rolsen-hrc-01")</f>
        <v>https://pulti.ua/pultyi-dlya-audio-i-video-tehniki/dvd-blueray/pult-dlya-rolsen-hrc-01</v>
      </c>
    </row>
    <row r="1299" spans="1:8" s="18" customFormat="1" ht="15" customHeight="1">
      <c r="A1299" s="11">
        <v>2377</v>
      </c>
      <c r="B1299" s="12" t="s">
        <v>1192</v>
      </c>
      <c r="C1299" s="13" t="s">
        <v>1086</v>
      </c>
      <c r="D1299" s="14"/>
      <c r="E1299" s="9">
        <v>75</v>
      </c>
      <c r="F1299" s="9">
        <f t="shared" si="41"/>
        <v>0</v>
      </c>
      <c r="G1299" s="13"/>
      <c r="H1299" s="14" t="str">
        <f>HYPERLINK("https://pulti.ua/dvd-blueray/pult-dlja-rolsen-rc-p03a")</f>
        <v>https://pulti.ua/dvd-blueray/pult-dlja-rolsen-rc-p03a</v>
      </c>
    </row>
    <row r="1300" spans="1:8" s="18" customFormat="1" ht="15" customHeight="1">
      <c r="A1300" s="11">
        <v>2380</v>
      </c>
      <c r="B1300" s="12" t="s">
        <v>1193</v>
      </c>
      <c r="C1300" s="13" t="s">
        <v>1086</v>
      </c>
      <c r="D1300" s="14"/>
      <c r="E1300" s="9">
        <v>131.3</v>
      </c>
      <c r="F1300" s="9">
        <f t="shared" si="41"/>
        <v>0</v>
      </c>
      <c r="G1300" s="13"/>
      <c r="H1300" s="14" t="str">
        <f>HYPERLINK("https://pulti.ua/dvd-blueray/pult-dlja-rolsen-rm569-ru")</f>
        <v>https://pulti.ua/dvd-blueray/pult-dlja-rolsen-rm569-ru</v>
      </c>
    </row>
    <row r="1301" spans="1:8" s="18" customFormat="1" ht="15" customHeight="1">
      <c r="A1301" s="11">
        <v>2381</v>
      </c>
      <c r="B1301" s="12" t="s">
        <v>1194</v>
      </c>
      <c r="C1301" s="13" t="s">
        <v>1086</v>
      </c>
      <c r="D1301" s="14"/>
      <c r="E1301" s="9">
        <v>93.8</v>
      </c>
      <c r="F1301" s="9">
        <f t="shared" si="41"/>
        <v>0</v>
      </c>
      <c r="G1301" s="13"/>
      <c r="H1301" s="14" t="str">
        <f>HYPERLINK("https://pulti.ua/dvd-blueray/pult-dlja-rubin-sg-50s")</f>
        <v>https://pulti.ua/dvd-blueray/pult-dlja-rubin-sg-50s</v>
      </c>
    </row>
    <row r="1302" spans="1:8" s="18" customFormat="1" ht="15" customHeight="1">
      <c r="A1302" s="39">
        <v>2386</v>
      </c>
      <c r="B1302" s="26" t="s">
        <v>1195</v>
      </c>
      <c r="C1302" s="13" t="s">
        <v>1086</v>
      </c>
      <c r="D1302" s="14"/>
      <c r="E1302" s="9">
        <v>127.5</v>
      </c>
      <c r="F1302" s="9">
        <f t="shared" si="41"/>
        <v>0</v>
      </c>
      <c r="G1302" s="13"/>
      <c r="H1302" s="14" t="str">
        <f>HYPERLINK("https://pulti.ua/dvd-blueray/pult-dlja-samsung-00012l")</f>
        <v>https://pulti.ua/dvd-blueray/pult-dlja-samsung-00012l</v>
      </c>
    </row>
    <row r="1303" spans="1:8" s="18" customFormat="1" ht="15" customHeight="1">
      <c r="A1303" s="39">
        <v>2389</v>
      </c>
      <c r="B1303" s="26" t="s">
        <v>1196</v>
      </c>
      <c r="C1303" s="13" t="s">
        <v>1197</v>
      </c>
      <c r="D1303" s="14"/>
      <c r="E1303" s="9">
        <v>198.8</v>
      </c>
      <c r="F1303" s="9">
        <f t="shared" si="41"/>
        <v>0</v>
      </c>
      <c r="G1303" s="13"/>
      <c r="H1303" s="14" t="str">
        <f>HYPERLINK("https://pulti.ua/dvd-blueray/pult-dlja-samsung-00053p")</f>
        <v>https://pulti.ua/dvd-blueray/pult-dlja-samsung-00053p</v>
      </c>
    </row>
    <row r="1304" spans="1:8" s="18" customFormat="1" ht="15" customHeight="1">
      <c r="A1304" s="39">
        <v>2392</v>
      </c>
      <c r="B1304" s="26" t="s">
        <v>1198</v>
      </c>
      <c r="C1304" s="13" t="s">
        <v>1172</v>
      </c>
      <c r="D1304" s="14"/>
      <c r="E1304" s="9">
        <v>120</v>
      </c>
      <c r="F1304" s="9">
        <f t="shared" si="41"/>
        <v>0</v>
      </c>
      <c r="G1304" s="13"/>
      <c r="H1304" s="14" t="str">
        <f>HYPERLINK("https://pulti.ua/dvd-blueray/pult-dlja-samsung-00055g")</f>
        <v>https://pulti.ua/dvd-blueray/pult-dlja-samsung-00055g</v>
      </c>
    </row>
    <row r="1305" spans="1:8" s="18" customFormat="1" ht="15" customHeight="1">
      <c r="A1305" s="39">
        <v>2393</v>
      </c>
      <c r="B1305" s="26" t="s">
        <v>1199</v>
      </c>
      <c r="C1305" s="13" t="s">
        <v>1086</v>
      </c>
      <c r="D1305" s="14"/>
      <c r="E1305" s="9">
        <v>153.8</v>
      </c>
      <c r="F1305" s="9">
        <f t="shared" si="41"/>
        <v>0</v>
      </c>
      <c r="G1305" s="13"/>
      <c r="H1305" s="14" t="str">
        <f>HYPERLINK("https://pulti.ua/dvd-blueray/pult-dlja-samsung-00061t")</f>
        <v>https://pulti.ua/dvd-blueray/pult-dlja-samsung-00061t</v>
      </c>
    </row>
    <row r="1306" spans="1:8" s="18" customFormat="1" ht="15" customHeight="1">
      <c r="A1306" s="39">
        <v>2398</v>
      </c>
      <c r="B1306" s="26" t="s">
        <v>1200</v>
      </c>
      <c r="C1306" s="13" t="s">
        <v>1086</v>
      </c>
      <c r="D1306" s="14"/>
      <c r="E1306" s="9">
        <v>146.3</v>
      </c>
      <c r="F1306" s="9">
        <f t="shared" si="41"/>
        <v>0</v>
      </c>
      <c r="G1306" s="13"/>
      <c r="H1306" s="14" t="str">
        <f>HYPERLINK("https://pulti.ua/dvd-blueray/pult-dlja-samsung-00074a")</f>
        <v>https://pulti.ua/dvd-blueray/pult-dlja-samsung-00074a</v>
      </c>
    </row>
    <row r="1307" spans="1:8" s="18" customFormat="1" ht="15" customHeight="1">
      <c r="A1307" s="39">
        <v>2399</v>
      </c>
      <c r="B1307" s="26" t="s">
        <v>1201</v>
      </c>
      <c r="C1307" s="13" t="s">
        <v>1086</v>
      </c>
      <c r="D1307" s="14"/>
      <c r="E1307" s="9">
        <v>131.3</v>
      </c>
      <c r="F1307" s="9">
        <f t="shared" si="41"/>
        <v>0</v>
      </c>
      <c r="G1307" s="13"/>
      <c r="H1307" s="14" t="str">
        <f>HYPERLINK("https://pulti.ua/dvd-blueray/pult-dlja-samsung-00084k")</f>
        <v>https://pulti.ua/dvd-blueray/pult-dlja-samsung-00084k</v>
      </c>
    </row>
    <row r="1308" spans="1:8" s="18" customFormat="1" ht="15" customHeight="1">
      <c r="A1308" s="39">
        <v>3167</v>
      </c>
      <c r="B1308" s="26" t="s">
        <v>1202</v>
      </c>
      <c r="C1308" s="13" t="s">
        <v>1095</v>
      </c>
      <c r="D1308" s="14"/>
      <c r="E1308" s="9">
        <v>180</v>
      </c>
      <c r="F1308" s="9">
        <f t="shared" si="41"/>
        <v>0</v>
      </c>
      <c r="G1308" s="13"/>
      <c r="H1308" s="14" t="str">
        <f>HYPERLINK("https://pulti.ua/domashnie-kinoteatry/pult-dlja-samsung-ah59-01347a")</f>
        <v>https://pulti.ua/domashnie-kinoteatry/pult-dlja-samsung-ah59-01347a</v>
      </c>
    </row>
    <row r="1309" spans="1:8" s="18" customFormat="1" ht="15" customHeight="1">
      <c r="A1309" s="39">
        <v>2402</v>
      </c>
      <c r="B1309" s="26" t="s">
        <v>1203</v>
      </c>
      <c r="C1309" s="13" t="s">
        <v>1095</v>
      </c>
      <c r="D1309" s="14"/>
      <c r="E1309" s="9">
        <v>187.5</v>
      </c>
      <c r="F1309" s="9">
        <f t="shared" si="41"/>
        <v>0</v>
      </c>
      <c r="G1309" s="13"/>
      <c r="H1309" s="14" t="str">
        <f>HYPERLINK("https://pulti.ua/domashnie-kinoteatry/pult-dlja-samsung-ah59-01644f")</f>
        <v>https://pulti.ua/domashnie-kinoteatry/pult-dlja-samsung-ah59-01644f</v>
      </c>
    </row>
    <row r="1310" spans="1:8" s="18" customFormat="1" ht="15" customHeight="1">
      <c r="A1310" s="39">
        <v>2403</v>
      </c>
      <c r="B1310" s="26" t="s">
        <v>1204</v>
      </c>
      <c r="C1310" s="13" t="s">
        <v>1095</v>
      </c>
      <c r="D1310" s="14"/>
      <c r="E1310" s="9">
        <v>195</v>
      </c>
      <c r="F1310" s="9">
        <f t="shared" si="41"/>
        <v>0</v>
      </c>
      <c r="G1310" s="13"/>
      <c r="H1310" s="14" t="str">
        <f>HYPERLINK("https://pulti.ua/domashnie-kinoteatry/pult-dlja-samsung-ah59-01695n")</f>
        <v>https://pulti.ua/domashnie-kinoteatry/pult-dlja-samsung-ah59-01695n</v>
      </c>
    </row>
    <row r="1311" spans="1:8" s="18" customFormat="1" ht="15" customHeight="1">
      <c r="A1311" s="39">
        <v>2002</v>
      </c>
      <c r="B1311" s="26" t="s">
        <v>1205</v>
      </c>
      <c r="C1311" s="13" t="s">
        <v>1095</v>
      </c>
      <c r="D1311" s="14"/>
      <c r="E1311" s="9">
        <v>187.5</v>
      </c>
      <c r="F1311" s="9">
        <f t="shared" si="41"/>
        <v>0</v>
      </c>
      <c r="G1311" s="13"/>
      <c r="H1311" s="14" t="str">
        <f>HYPERLINK("https://pulti.ua/domashnie-kinoteatry/pult-dlja-samsung-ah59-01778y")</f>
        <v>https://pulti.ua/domashnie-kinoteatry/pult-dlja-samsung-ah59-01778y</v>
      </c>
    </row>
    <row r="1312" spans="1:8" s="18" customFormat="1" ht="15" customHeight="1">
      <c r="A1312" s="39">
        <v>2413</v>
      </c>
      <c r="B1312" s="26" t="s">
        <v>1206</v>
      </c>
      <c r="C1312" s="13" t="s">
        <v>1095</v>
      </c>
      <c r="D1312" s="14"/>
      <c r="E1312" s="9">
        <v>187.5</v>
      </c>
      <c r="F1312" s="9">
        <f t="shared" si="41"/>
        <v>0</v>
      </c>
      <c r="G1312" s="13"/>
      <c r="H1312" s="14" t="str">
        <f>HYPERLINK("https://pulti.ua/domashnie-kinoteatry/pult-dlja-samsung-ah59-01907t")</f>
        <v>https://pulti.ua/domashnie-kinoteatry/pult-dlja-samsung-ah59-01907t</v>
      </c>
    </row>
    <row r="1313" spans="1:8" s="18" customFormat="1" ht="15" customHeight="1">
      <c r="A1313" s="39">
        <v>3022</v>
      </c>
      <c r="B1313" s="26" t="s">
        <v>1207</v>
      </c>
      <c r="C1313" s="13" t="s">
        <v>1095</v>
      </c>
      <c r="D1313" s="14"/>
      <c r="E1313" s="9">
        <v>213.8</v>
      </c>
      <c r="F1313" s="9">
        <f t="shared" si="41"/>
        <v>0</v>
      </c>
      <c r="G1313" s="13"/>
      <c r="H1313" s="14" t="str">
        <f>HYPERLINK("https://pulti.ua/domashnie-kinoteatry/pult-dlja-samsung-ah59-01951k")</f>
        <v>https://pulti.ua/domashnie-kinoteatry/pult-dlja-samsung-ah59-01951k</v>
      </c>
    </row>
    <row r="1314" spans="1:8" s="18" customFormat="1" ht="15" customHeight="1">
      <c r="A1314" s="39">
        <v>2415</v>
      </c>
      <c r="B1314" s="26" t="s">
        <v>1208</v>
      </c>
      <c r="C1314" s="13" t="s">
        <v>1095</v>
      </c>
      <c r="D1314" s="14"/>
      <c r="E1314" s="9">
        <v>195</v>
      </c>
      <c r="F1314" s="9">
        <f t="shared" si="41"/>
        <v>0</v>
      </c>
      <c r="G1314" s="13"/>
      <c r="H1314" s="14" t="str">
        <f>HYPERLINK("https://pulti.ua/domashnie-kinoteatry/pult-dlja-samsung-ah59-02131f")</f>
        <v>https://pulti.ua/domashnie-kinoteatry/pult-dlja-samsung-ah59-02131f</v>
      </c>
    </row>
    <row r="1315" spans="1:8" s="18" customFormat="1" ht="15" customHeight="1">
      <c r="A1315" s="39">
        <v>2417</v>
      </c>
      <c r="B1315" s="26" t="s">
        <v>1209</v>
      </c>
      <c r="C1315" s="13" t="s">
        <v>1095</v>
      </c>
      <c r="D1315" s="14"/>
      <c r="E1315" s="9">
        <v>225</v>
      </c>
      <c r="F1315" s="9">
        <f t="shared" si="41"/>
        <v>0</v>
      </c>
      <c r="G1315" s="13"/>
      <c r="H1315" s="14" t="str">
        <f>HYPERLINK("https://pulti.ua/domashnie-kinoteatry/pult-dlja-samsung-ah59-02146s")</f>
        <v>https://pulti.ua/domashnie-kinoteatry/pult-dlja-samsung-ah59-02146s</v>
      </c>
    </row>
    <row r="1316" spans="1:8" s="18" customFormat="1" ht="15" customHeight="1">
      <c r="A1316" s="39">
        <v>3584</v>
      </c>
      <c r="B1316" s="26" t="s">
        <v>1210</v>
      </c>
      <c r="C1316" s="13" t="s">
        <v>1095</v>
      </c>
      <c r="D1316" s="14"/>
      <c r="E1316" s="9">
        <v>236.3</v>
      </c>
      <c r="F1316" s="9">
        <f t="shared" si="41"/>
        <v>0</v>
      </c>
      <c r="G1316" s="13"/>
      <c r="H1316" s="14" t="str">
        <f>HYPERLINK("https://pulti.ua/domashnie-kinoteatry/pult-dlja-samsung-ah59-02195c")</f>
        <v>https://pulti.ua/domashnie-kinoteatry/pult-dlja-samsung-ah59-02195c</v>
      </c>
    </row>
    <row r="1317" spans="1:8" s="18" customFormat="1" ht="15" customHeight="1">
      <c r="A1317" s="39">
        <v>3587</v>
      </c>
      <c r="B1317" s="26" t="s">
        <v>1211</v>
      </c>
      <c r="C1317" s="13" t="s">
        <v>1212</v>
      </c>
      <c r="D1317" s="14"/>
      <c r="E1317" s="9">
        <v>236.3</v>
      </c>
      <c r="F1317" s="9">
        <f t="shared" si="41"/>
        <v>0</v>
      </c>
      <c r="G1317" s="13"/>
      <c r="H1317" s="14" t="str">
        <f>HYPERLINK("https://pulti.ua/mediapleery/pult-dlja-samsung-ak59-00140a--mediapleer-s-3d")</f>
        <v>https://pulti.ua/mediapleery/pult-dlja-samsung-ak59-00140a--mediapleer-s-3d</v>
      </c>
    </row>
    <row r="1318" spans="1:8" s="18" customFormat="1" ht="15" customHeight="1">
      <c r="A1318" s="11">
        <v>2430</v>
      </c>
      <c r="B1318" s="12" t="s">
        <v>1213</v>
      </c>
      <c r="C1318" s="13" t="s">
        <v>1086</v>
      </c>
      <c r="D1318" s="14"/>
      <c r="E1318" s="9">
        <v>71.3</v>
      </c>
      <c r="F1318" s="9">
        <f t="shared" si="41"/>
        <v>0</v>
      </c>
      <c r="G1318" s="13"/>
      <c r="H1318" s="14" t="str">
        <f>HYPERLINK("https://pulti.ua/dvd-blueray/pult-dlja-saturn-st1701")</f>
        <v>https://pulti.ua/dvd-blueray/pult-dlja-saturn-st1701</v>
      </c>
    </row>
    <row r="1319" spans="1:8" s="18" customFormat="1" ht="15" customHeight="1">
      <c r="A1319" s="11">
        <v>2431</v>
      </c>
      <c r="B1319" s="12" t="s">
        <v>1214</v>
      </c>
      <c r="C1319" s="13" t="s">
        <v>1086</v>
      </c>
      <c r="D1319" s="14"/>
      <c r="E1319" s="9">
        <v>71.3</v>
      </c>
      <c r="F1319" s="9">
        <f t="shared" si="41"/>
        <v>0</v>
      </c>
      <c r="G1319" s="13"/>
      <c r="H1319" s="14" t="str">
        <f>HYPERLINK("https://pulti.ua/dvd-blueray/pult-dlja-saturn--st1705")</f>
        <v>https://pulti.ua/dvd-blueray/pult-dlja-saturn--st1705</v>
      </c>
    </row>
    <row r="1320" spans="1:8" s="18" customFormat="1" ht="15" customHeight="1">
      <c r="A1320" s="11">
        <v>2432</v>
      </c>
      <c r="B1320" s="12" t="s">
        <v>1215</v>
      </c>
      <c r="C1320" s="13" t="s">
        <v>1086</v>
      </c>
      <c r="D1320" s="14"/>
      <c r="E1320" s="9">
        <v>71.3</v>
      </c>
      <c r="F1320" s="9">
        <f t="shared" si="41"/>
        <v>0</v>
      </c>
      <c r="G1320" s="13"/>
      <c r="H1320" s="14" t="str">
        <f>HYPERLINK("https://pulti.ua/dvd-blueray/pult-dlja-saturn-st1706")</f>
        <v>https://pulti.ua/dvd-blueray/pult-dlja-saturn-st1706</v>
      </c>
    </row>
    <row r="1321" spans="1:8" s="18" customFormat="1" ht="15" customHeight="1">
      <c r="A1321" s="11">
        <v>2942</v>
      </c>
      <c r="B1321" s="12" t="s">
        <v>1216</v>
      </c>
      <c r="C1321" s="13" t="s">
        <v>1086</v>
      </c>
      <c r="D1321" s="14"/>
      <c r="E1321" s="9">
        <v>71.3</v>
      </c>
      <c r="F1321" s="9">
        <f aca="true" t="shared" si="42" ref="F1321:F1343">D1321*E1321</f>
        <v>0</v>
      </c>
      <c r="G1321" s="13"/>
      <c r="H1321" s="14" t="str">
        <f>HYPERLINK("https://pulti.ua/dvd-blueray/pult-dlja-saturn-st-dv7728")</f>
        <v>https://pulti.ua/dvd-blueray/pult-dlja-saturn-st-dv7728</v>
      </c>
    </row>
    <row r="1322" spans="1:8" s="18" customFormat="1" ht="15" customHeight="1">
      <c r="A1322" s="39">
        <v>2434</v>
      </c>
      <c r="B1322" s="26" t="s">
        <v>1217</v>
      </c>
      <c r="C1322" s="13" t="s">
        <v>1146</v>
      </c>
      <c r="D1322" s="14"/>
      <c r="E1322" s="9">
        <v>213.8</v>
      </c>
      <c r="F1322" s="9">
        <f t="shared" si="42"/>
        <v>0</v>
      </c>
      <c r="G1322" s="13"/>
      <c r="H1322" s="14" t="str">
        <f>HYPERLINK("https://pulti.ua/dvd-blueray/pult-dlja-sharp-rrmc-ga718wjpa")</f>
        <v>https://pulti.ua/dvd-blueray/pult-dlja-sharp-rrmc-ga718wjpa</v>
      </c>
    </row>
    <row r="1323" spans="1:8" s="18" customFormat="1" ht="15" customHeight="1">
      <c r="A1323" s="11">
        <v>2436</v>
      </c>
      <c r="B1323" s="12" t="s">
        <v>1440</v>
      </c>
      <c r="C1323" s="13" t="s">
        <v>1086</v>
      </c>
      <c r="D1323" s="14"/>
      <c r="E1323" s="9">
        <v>168.8</v>
      </c>
      <c r="F1323" s="9">
        <f t="shared" si="42"/>
        <v>0</v>
      </c>
      <c r="G1323" s="13"/>
      <c r="H1323" s="14" t="str">
        <f>HYPERLINK("https://pulti.ua/dvd-blueray/pult-dlja-shivaki-dvx-552")</f>
        <v>https://pulti.ua/dvd-blueray/pult-dlja-shivaki-dvx-552</v>
      </c>
    </row>
    <row r="1324" spans="1:8" s="18" customFormat="1" ht="15" customHeight="1">
      <c r="A1324" s="11">
        <v>2003</v>
      </c>
      <c r="B1324" s="12" t="s">
        <v>1218</v>
      </c>
      <c r="C1324" s="13" t="s">
        <v>1086</v>
      </c>
      <c r="D1324" s="14"/>
      <c r="E1324" s="9">
        <v>127.5</v>
      </c>
      <c r="F1324" s="9">
        <f t="shared" si="42"/>
        <v>0</v>
      </c>
      <c r="G1324" s="13"/>
      <c r="H1324" s="14" t="str">
        <f>HYPERLINK("https://pulti.ua/dvd-blueray/pult-dlja-sony-jx-9005")</f>
        <v>https://pulti.ua/dvd-blueray/pult-dlja-sony-jx-9005</v>
      </c>
    </row>
    <row r="1325" spans="1:8" s="18" customFormat="1" ht="15" customHeight="1">
      <c r="A1325" s="39">
        <v>2442</v>
      </c>
      <c r="B1325" s="26" t="s">
        <v>1219</v>
      </c>
      <c r="C1325" s="13" t="s">
        <v>1095</v>
      </c>
      <c r="D1325" s="14"/>
      <c r="E1325" s="9">
        <v>187.5</v>
      </c>
      <c r="F1325" s="9">
        <f t="shared" si="42"/>
        <v>0</v>
      </c>
      <c r="G1325" s="13"/>
      <c r="H1325" s="14" t="str">
        <f>HYPERLINK("https://pulti.ua/domashnie-kinoteatry/pult-dlja-sony-rm-aap013")</f>
        <v>https://pulti.ua/domashnie-kinoteatry/pult-dlja-sony-rm-aap013</v>
      </c>
    </row>
    <row r="1326" spans="1:8" s="18" customFormat="1" ht="15" customHeight="1">
      <c r="A1326" s="39">
        <v>2443</v>
      </c>
      <c r="B1326" s="26" t="s">
        <v>1220</v>
      </c>
      <c r="C1326" s="13" t="s">
        <v>1095</v>
      </c>
      <c r="D1326" s="14"/>
      <c r="E1326" s="9">
        <v>172.5</v>
      </c>
      <c r="F1326" s="9">
        <f t="shared" si="42"/>
        <v>0</v>
      </c>
      <c r="G1326" s="13"/>
      <c r="H1326" s="14" t="str">
        <f>HYPERLINK("https://pulti.ua/domashnie-kinoteatry/pult-dlja-sony-rm-aau002")</f>
        <v>https://pulti.ua/domashnie-kinoteatry/pult-dlja-sony-rm-aau002</v>
      </c>
    </row>
    <row r="1327" spans="1:8" s="18" customFormat="1" ht="15" customHeight="1">
      <c r="A1327" s="39">
        <v>2444</v>
      </c>
      <c r="B1327" s="26" t="s">
        <v>1221</v>
      </c>
      <c r="C1327" s="13" t="s">
        <v>1095</v>
      </c>
      <c r="D1327" s="14"/>
      <c r="E1327" s="9">
        <v>187.5</v>
      </c>
      <c r="F1327" s="9">
        <f t="shared" si="42"/>
        <v>0</v>
      </c>
      <c r="G1327" s="13"/>
      <c r="H1327" s="14" t="str">
        <f>HYPERLINK("https://pulti.ua/domashnie-kinoteatry/pult-dlja-sony-rm-aau013")</f>
        <v>https://pulti.ua/domashnie-kinoteatry/pult-dlja-sony-rm-aau013</v>
      </c>
    </row>
    <row r="1328" spans="1:8" s="18" customFormat="1" ht="15" customHeight="1">
      <c r="A1328" s="11">
        <v>3093</v>
      </c>
      <c r="B1328" s="12" t="s">
        <v>1222</v>
      </c>
      <c r="C1328" s="13" t="s">
        <v>1086</v>
      </c>
      <c r="D1328" s="14"/>
      <c r="E1328" s="9">
        <v>112.5</v>
      </c>
      <c r="F1328" s="9">
        <f t="shared" si="42"/>
        <v>0</v>
      </c>
      <c r="G1328" s="13"/>
      <c r="H1328" s="14" t="str">
        <f>HYPERLINK("https://pulti.ua/dvd-blueray/pult-dlja-sony-rmt-b107a")</f>
        <v>https://pulti.ua/dvd-blueray/pult-dlja-sony-rmt-b107a</v>
      </c>
    </row>
    <row r="1329" spans="1:8" s="18" customFormat="1" ht="15" customHeight="1">
      <c r="A1329" s="39">
        <v>3015</v>
      </c>
      <c r="B1329" s="26" t="s">
        <v>1223</v>
      </c>
      <c r="C1329" s="13" t="s">
        <v>1086</v>
      </c>
      <c r="D1329" s="14"/>
      <c r="E1329" s="9">
        <v>116.3</v>
      </c>
      <c r="F1329" s="9">
        <f t="shared" si="42"/>
        <v>0</v>
      </c>
      <c r="G1329" s="13"/>
      <c r="H1329" s="14" t="str">
        <f>HYPERLINK("https://pulti.ua/dvd-blueray/pult-dlja-soundmax-jx3055b")</f>
        <v>https://pulti.ua/dvd-blueray/pult-dlja-soundmax-jx3055b</v>
      </c>
    </row>
    <row r="1330" spans="1:8" s="18" customFormat="1" ht="15" customHeight="1">
      <c r="A1330" s="11">
        <v>2461</v>
      </c>
      <c r="B1330" s="12" t="s">
        <v>1224</v>
      </c>
      <c r="C1330" s="13" t="s">
        <v>1086</v>
      </c>
      <c r="D1330" s="14"/>
      <c r="E1330" s="9">
        <v>71.3</v>
      </c>
      <c r="F1330" s="9">
        <f t="shared" si="42"/>
        <v>0</v>
      </c>
      <c r="G1330" s="13"/>
      <c r="H1330" s="14" t="str">
        <f>HYPERLINK("https://pulti.ua/dvd-blueray/pult-dlja-start-dvd-st1")</f>
        <v>https://pulti.ua/dvd-blueray/pult-dlja-start-dvd-st1</v>
      </c>
    </row>
    <row r="1331" spans="1:8" s="18" customFormat="1" ht="15" customHeight="1">
      <c r="A1331" s="39">
        <v>3343</v>
      </c>
      <c r="B1331" s="26" t="s">
        <v>1225</v>
      </c>
      <c r="C1331" s="13" t="s">
        <v>1146</v>
      </c>
      <c r="D1331" s="14"/>
      <c r="E1331" s="9">
        <v>187.5</v>
      </c>
      <c r="F1331" s="9">
        <f t="shared" si="42"/>
        <v>0</v>
      </c>
      <c r="G1331" s="13"/>
      <c r="H1331" s="14" t="str">
        <f>HYPERLINK("https://pulti.ua/dvd-blueray/pult-dlja-supra-bdp-212")</f>
        <v>https://pulti.ua/dvd-blueray/pult-dlja-supra-bdp-212</v>
      </c>
    </row>
    <row r="1332" spans="1:8" s="18" customFormat="1" ht="15" customHeight="1">
      <c r="A1332" s="39">
        <v>3321</v>
      </c>
      <c r="B1332" s="26" t="s">
        <v>1226</v>
      </c>
      <c r="C1332" s="13" t="s">
        <v>1086</v>
      </c>
      <c r="D1332" s="14"/>
      <c r="E1332" s="9">
        <v>138.8</v>
      </c>
      <c r="F1332" s="9">
        <f t="shared" si="42"/>
        <v>0</v>
      </c>
      <c r="G1332" s="13"/>
      <c r="H1332" s="14" t="str">
        <f>HYPERLINK("https://pulti.ua/dvd-blueray/pult-dlja-supra-dvs-117xk")</f>
        <v>https://pulti.ua/dvd-blueray/pult-dlja-supra-dvs-117xk</v>
      </c>
    </row>
    <row r="1333" spans="1:8" s="18" customFormat="1" ht="15" customHeight="1">
      <c r="A1333" s="39">
        <v>3323</v>
      </c>
      <c r="B1333" s="26" t="s">
        <v>1227</v>
      </c>
      <c r="C1333" s="13" t="s">
        <v>1095</v>
      </c>
      <c r="D1333" s="14"/>
      <c r="E1333" s="9">
        <v>138.8</v>
      </c>
      <c r="F1333" s="9">
        <f t="shared" si="42"/>
        <v>0</v>
      </c>
      <c r="G1333" s="13"/>
      <c r="H1333" s="14" t="str">
        <f>HYPERLINK("https://pulti.ua/domashnie-kinoteatry/pult-dlja-supra-sht-204xki")</f>
        <v>https://pulti.ua/domashnie-kinoteatry/pult-dlja-supra-sht-204xki</v>
      </c>
    </row>
    <row r="1334" spans="1:8" s="18" customFormat="1" ht="15" customHeight="1">
      <c r="A1334" s="11">
        <v>2473</v>
      </c>
      <c r="B1334" s="12" t="s">
        <v>1228</v>
      </c>
      <c r="C1334" s="13" t="s">
        <v>1086</v>
      </c>
      <c r="D1334" s="14"/>
      <c r="E1334" s="9">
        <v>71.3</v>
      </c>
      <c r="F1334" s="9">
        <f t="shared" si="42"/>
        <v>0</v>
      </c>
      <c r="G1334" s="13"/>
      <c r="H1334" s="14" t="str">
        <f>HYPERLINK("https://pulti.ua/dvd-blueray/pult-dlja-tcl-dvd-8006")</f>
        <v>https://pulti.ua/dvd-blueray/pult-dlja-tcl-dvd-8006</v>
      </c>
    </row>
    <row r="1335" spans="1:8" s="18" customFormat="1" ht="15" customHeight="1">
      <c r="A1335" s="11">
        <v>2476</v>
      </c>
      <c r="B1335" s="12" t="s">
        <v>1229</v>
      </c>
      <c r="C1335" s="13" t="s">
        <v>1086</v>
      </c>
      <c r="D1335" s="14"/>
      <c r="E1335" s="9">
        <v>131.3</v>
      </c>
      <c r="F1335" s="9">
        <f t="shared" si="42"/>
        <v>0</v>
      </c>
      <c r="G1335" s="13"/>
      <c r="H1335" s="14" t="str">
        <f>HYPERLINK("https://pulti.ua/dvd-blueray/pult-dlja-thomson-rc-110da1")</f>
        <v>https://pulti.ua/dvd-blueray/pult-dlja-thomson-rc-110da1</v>
      </c>
    </row>
    <row r="1336" spans="1:8" s="18" customFormat="1" ht="15" customHeight="1">
      <c r="A1336" s="11">
        <v>2477</v>
      </c>
      <c r="B1336" s="12" t="s">
        <v>1230</v>
      </c>
      <c r="C1336" s="13" t="s">
        <v>1086</v>
      </c>
      <c r="D1336" s="14"/>
      <c r="E1336" s="9">
        <v>71.3</v>
      </c>
      <c r="F1336" s="9">
        <f t="shared" si="42"/>
        <v>0</v>
      </c>
      <c r="G1336" s="13"/>
      <c r="H1336" s="14" t="str">
        <f>HYPERLINK("https://pulti.ua/dvd-blueray/pult-dlja-thomson-rct195da1-noc")</f>
        <v>https://pulti.ua/dvd-blueray/pult-dlja-thomson-rct195da1-noc</v>
      </c>
    </row>
    <row r="1337" spans="1:8" s="18" customFormat="1" ht="15" customHeight="1">
      <c r="A1337" s="11">
        <v>2479</v>
      </c>
      <c r="B1337" s="12" t="s">
        <v>1231</v>
      </c>
      <c r="C1337" s="13" t="s">
        <v>1086</v>
      </c>
      <c r="D1337" s="14"/>
      <c r="E1337" s="9">
        <v>71.3</v>
      </c>
      <c r="F1337" s="9">
        <f t="shared" si="42"/>
        <v>0</v>
      </c>
      <c r="G1337" s="13"/>
      <c r="H1337" s="14" t="str">
        <f>HYPERLINK("https://pulti.ua/dvd-blueray/pult-dlja-vitek-vt-001")</f>
        <v>https://pulti.ua/dvd-blueray/pult-dlja-vitek-vt-001</v>
      </c>
    </row>
    <row r="1338" spans="1:8" s="18" customFormat="1" ht="15" customHeight="1">
      <c r="A1338" s="11">
        <v>2480</v>
      </c>
      <c r="B1338" s="12" t="s">
        <v>1232</v>
      </c>
      <c r="C1338" s="13" t="s">
        <v>1086</v>
      </c>
      <c r="D1338" s="14"/>
      <c r="E1338" s="9">
        <v>142.5</v>
      </c>
      <c r="F1338" s="9">
        <f t="shared" si="42"/>
        <v>0</v>
      </c>
      <c r="G1338" s="13"/>
      <c r="H1338" s="14" t="str">
        <f>HYPERLINK("https://pulti.ua/dvd-blueray/pult-dlja-vitek-vt-4000gy-noc")</f>
        <v>https://pulti.ua/dvd-blueray/pult-dlja-vitek-vt-4000gy-noc</v>
      </c>
    </row>
    <row r="1339" spans="1:8" s="18" customFormat="1" ht="15" customHeight="1">
      <c r="A1339" s="11">
        <v>2481</v>
      </c>
      <c r="B1339" s="12" t="s">
        <v>1233</v>
      </c>
      <c r="C1339" s="13" t="s">
        <v>1086</v>
      </c>
      <c r="D1339" s="14"/>
      <c r="E1339" s="9">
        <v>78.8</v>
      </c>
      <c r="F1339" s="9">
        <f t="shared" si="42"/>
        <v>0</v>
      </c>
      <c r="G1339" s="13"/>
      <c r="H1339" s="14" t="str">
        <f>HYPERLINK("https://pulti.ua/dvd-blueray/pult-dlja-vitek-vt-4003sr")</f>
        <v>https://pulti.ua/dvd-blueray/pult-dlja-vitek-vt-4003sr</v>
      </c>
    </row>
    <row r="1340" spans="1:8" s="18" customFormat="1" ht="15" customHeight="1">
      <c r="A1340" s="11">
        <v>2482</v>
      </c>
      <c r="B1340" s="12" t="s">
        <v>1234</v>
      </c>
      <c r="C1340" s="13" t="s">
        <v>1086</v>
      </c>
      <c r="D1340" s="14"/>
      <c r="E1340" s="9">
        <v>71.3</v>
      </c>
      <c r="F1340" s="9">
        <f t="shared" si="42"/>
        <v>0</v>
      </c>
      <c r="G1340" s="13"/>
      <c r="H1340" s="14" t="str">
        <f>HYPERLINK("https://pulti.ua/dvd-blueray/pult-dlja-vitek-vt-4072")</f>
        <v>https://pulti.ua/dvd-blueray/pult-dlja-vitek-vt-4072</v>
      </c>
    </row>
    <row r="1341" spans="1:8" s="18" customFormat="1" ht="15" customHeight="1">
      <c r="A1341" s="11">
        <v>3048</v>
      </c>
      <c r="B1341" s="12" t="s">
        <v>1235</v>
      </c>
      <c r="C1341" s="13" t="s">
        <v>1086</v>
      </c>
      <c r="D1341" s="14"/>
      <c r="E1341" s="9">
        <v>71.3</v>
      </c>
      <c r="F1341" s="9">
        <f t="shared" si="42"/>
        <v>0</v>
      </c>
      <c r="G1341" s="13"/>
      <c r="H1341" s="14" t="str">
        <f>HYPERLINK("https://pulti.ua/dvd-blueray/pult-dlja-west-dvx5144")</f>
        <v>https://pulti.ua/dvd-blueray/pult-dlja-west-dvx5144</v>
      </c>
    </row>
    <row r="1342" spans="1:8" s="18" customFormat="1" ht="15" customHeight="1">
      <c r="A1342" s="11">
        <v>2005</v>
      </c>
      <c r="B1342" s="12" t="s">
        <v>1236</v>
      </c>
      <c r="C1342" s="13" t="s">
        <v>1086</v>
      </c>
      <c r="D1342" s="14"/>
      <c r="E1342" s="9">
        <v>56.3</v>
      </c>
      <c r="F1342" s="9">
        <f t="shared" si="42"/>
        <v>0</v>
      </c>
      <c r="G1342" s="13"/>
      <c r="H1342" s="14" t="str">
        <f>HYPERLINK("https://pulti.ua/dvd-blueray/pult-dlja-xoro-hsd-400-01-noc")</f>
        <v>https://pulti.ua/dvd-blueray/pult-dlja-xoro-hsd-400-01-noc</v>
      </c>
    </row>
    <row r="1343" spans="1:8" s="18" customFormat="1" ht="15" customHeight="1">
      <c r="A1343" s="11">
        <v>2492</v>
      </c>
      <c r="B1343" s="12" t="s">
        <v>1237</v>
      </c>
      <c r="C1343" s="13" t="s">
        <v>1086</v>
      </c>
      <c r="D1343" s="14"/>
      <c r="E1343" s="9">
        <v>127.5</v>
      </c>
      <c r="F1343" s="9">
        <f t="shared" si="42"/>
        <v>0</v>
      </c>
      <c r="G1343" s="13"/>
      <c r="H1343" s="14" t="str">
        <f>HYPERLINK("https://pulti.ua/dvd-blueray/pult-dlja-xoro-hsd7100-rm-6000")</f>
        <v>https://pulti.ua/dvd-blueray/pult-dlja-xoro-hsd7100-rm-6000</v>
      </c>
    </row>
    <row r="1344" spans="1:8" s="18" customFormat="1" ht="15" customHeight="1">
      <c r="A1344" s="14"/>
      <c r="B1344" s="16" t="s">
        <v>1238</v>
      </c>
      <c r="C1344" s="14"/>
      <c r="D1344" s="14"/>
      <c r="E1344" s="9"/>
      <c r="F1344" s="9"/>
      <c r="G1344" s="13"/>
      <c r="H1344" s="14"/>
    </row>
    <row r="1345" spans="1:8" s="18" customFormat="1" ht="15" customHeight="1">
      <c r="A1345" s="11">
        <v>3658</v>
      </c>
      <c r="B1345" s="12" t="s">
        <v>1441</v>
      </c>
      <c r="C1345" s="13" t="s">
        <v>1238</v>
      </c>
      <c r="D1345" s="14"/>
      <c r="E1345" s="9">
        <v>157.5</v>
      </c>
      <c r="F1345" s="9">
        <f>D1345*E1345</f>
        <v>0</v>
      </c>
      <c r="G1345" s="13"/>
      <c r="H1345" s="14" t="str">
        <f>HYPERLINK("https://pulti.ua/kondicionery/pult-dlja-kondicionerov-alpari-galanz-gz-056b-e1")</f>
        <v>https://pulti.ua/kondicionery/pult-dlja-kondicionerov-alpari-galanz-gz-056b-e1</v>
      </c>
    </row>
    <row r="1346" spans="1:8" s="18" customFormat="1" ht="15" customHeight="1">
      <c r="A1346" s="11">
        <v>3538</v>
      </c>
      <c r="B1346" s="12" t="s">
        <v>1442</v>
      </c>
      <c r="C1346" s="13" t="s">
        <v>1238</v>
      </c>
      <c r="D1346" s="15" t="s">
        <v>1370</v>
      </c>
      <c r="E1346" s="9">
        <v>168.8</v>
      </c>
      <c r="F1346" s="9"/>
      <c r="G1346" s="13"/>
      <c r="H1346" s="14" t="str">
        <f>HYPERLINK("https://pulti.ua/kondicionery/pult-dlja-kondicionerov-alpari-gz-1002b-e3")</f>
        <v>https://pulti.ua/kondicionery/pult-dlja-kondicionerov-alpari-gz-1002b-e3</v>
      </c>
    </row>
    <row r="1347" spans="1:8" s="18" customFormat="1" ht="15" customHeight="1">
      <c r="A1347" s="11">
        <v>4212</v>
      </c>
      <c r="B1347" s="12" t="s">
        <v>1443</v>
      </c>
      <c r="C1347" s="13" t="s">
        <v>1238</v>
      </c>
      <c r="D1347" s="14"/>
      <c r="E1347" s="9">
        <v>185.6</v>
      </c>
      <c r="F1347" s="9">
        <f>D1347*E1347</f>
        <v>0</v>
      </c>
      <c r="G1347" s="13"/>
      <c r="H1347" s="14" t="str">
        <f>HYPERLINK("https://pulti.ua/kondicionery/originalnyiy-pult-dlya-konditsionera-aux-yk-p-002e")</f>
        <v>https://pulti.ua/kondicionery/originalnyiy-pult-dlya-konditsionera-aux-yk-p-002e</v>
      </c>
    </row>
    <row r="1348" spans="1:8" s="18" customFormat="1" ht="15" customHeight="1">
      <c r="A1348" s="11">
        <v>4218</v>
      </c>
      <c r="B1348" s="12" t="s">
        <v>1444</v>
      </c>
      <c r="C1348" s="13" t="s">
        <v>1238</v>
      </c>
      <c r="D1348" s="14"/>
      <c r="E1348" s="9">
        <v>206.3</v>
      </c>
      <c r="F1348" s="9">
        <f>D1348*E1348</f>
        <v>0</v>
      </c>
      <c r="G1348" s="13"/>
      <c r="H1348" s="14" t="str">
        <f>HYPERLINK("https://pulti.ua/kondicionery/originalnyiy-pult-dlya-konditsionera-besat-ykr-l-102e")</f>
        <v>https://pulti.ua/kondicionery/originalnyiy-pult-dlya-konditsionera-besat-ykr-l-102e</v>
      </c>
    </row>
    <row r="1349" spans="1:8" s="18" customFormat="1" ht="15" customHeight="1">
      <c r="A1349" s="11">
        <v>4368</v>
      </c>
      <c r="B1349" s="12" t="s">
        <v>1445</v>
      </c>
      <c r="C1349" s="13" t="s">
        <v>1238</v>
      </c>
      <c r="D1349" s="14"/>
      <c r="E1349" s="9">
        <v>135</v>
      </c>
      <c r="F1349" s="9">
        <f>D1349*E1349</f>
        <v>0</v>
      </c>
      <c r="G1349" s="13"/>
      <c r="H1349" s="14" t="str">
        <f>HYPERLINK("https://pulti.ua/kondicionery/pult-dlya-konditsionera-cooperandhunter-yaa1fb")</f>
        <v>https://pulti.ua/kondicionery/pult-dlya-konditsionera-cooperandhunter-yaa1fb</v>
      </c>
    </row>
    <row r="1350" spans="1:8" s="18" customFormat="1" ht="15" customHeight="1">
      <c r="A1350" s="11">
        <v>4556</v>
      </c>
      <c r="B1350" s="12" t="s">
        <v>1446</v>
      </c>
      <c r="C1350" s="13" t="s">
        <v>1238</v>
      </c>
      <c r="D1350" s="15" t="s">
        <v>1370</v>
      </c>
      <c r="E1350" s="9">
        <v>153.8</v>
      </c>
      <c r="F1350" s="9"/>
      <c r="G1350" s="13"/>
      <c r="H1350" s="14" t="str">
        <f>HYPERLINK("https://pulti.ua/kondicionery/pult-dlya-konditsionera-chigo-zh-jt-03")</f>
        <v>https://pulti.ua/kondicionery/pult-dlya-konditsionera-chigo-zh-jt-03</v>
      </c>
    </row>
    <row r="1351" spans="1:8" s="18" customFormat="1" ht="15" customHeight="1">
      <c r="A1351" s="11">
        <v>4879</v>
      </c>
      <c r="B1351" s="12" t="s">
        <v>1447</v>
      </c>
      <c r="C1351" s="13" t="s">
        <v>1238</v>
      </c>
      <c r="D1351" s="14"/>
      <c r="E1351" s="9">
        <v>168.8</v>
      </c>
      <c r="F1351" s="9">
        <f>D1351*E1351</f>
        <v>0</v>
      </c>
      <c r="G1351" s="13"/>
      <c r="H1351" s="14"/>
    </row>
    <row r="1352" spans="1:8" s="18" customFormat="1" ht="15" customHeight="1">
      <c r="A1352" s="11">
        <v>4209</v>
      </c>
      <c r="B1352" s="12" t="s">
        <v>1448</v>
      </c>
      <c r="C1352" s="13" t="s">
        <v>1238</v>
      </c>
      <c r="D1352" s="14"/>
      <c r="E1352" s="9">
        <v>198.8</v>
      </c>
      <c r="F1352" s="9">
        <f>D1352*E1352</f>
        <v>0</v>
      </c>
      <c r="G1352" s="13"/>
      <c r="H1352" s="14" t="str">
        <f>HYPERLINK("https://pulti.ua/kondicionery/originalnyiy-pult-dlya-konditsionera-chigo-zhf-ty-01")</f>
        <v>https://pulti.ua/kondicionery/originalnyiy-pult-dlya-konditsionera-chigo-zhf-ty-01</v>
      </c>
    </row>
    <row r="1353" spans="1:8" s="18" customFormat="1" ht="15" customHeight="1">
      <c r="A1353" s="11">
        <v>3908</v>
      </c>
      <c r="B1353" s="12" t="s">
        <v>1449</v>
      </c>
      <c r="C1353" s="13" t="s">
        <v>1238</v>
      </c>
      <c r="D1353" s="14"/>
      <c r="E1353" s="9">
        <v>150</v>
      </c>
      <c r="F1353" s="9">
        <f>D1353*E1353</f>
        <v>0</v>
      </c>
      <c r="G1353" s="13"/>
      <c r="H1353" s="14" t="str">
        <f>HYPERLINK("https://pulti.ua/kondicionery/pult-dlja-kondicionera-chigo-cs-23h3-v95ay3")</f>
        <v>https://pulti.ua/kondicionery/pult-dlja-kondicionera-chigo-cs-23h3-v95ay3</v>
      </c>
    </row>
    <row r="1354" spans="1:8" s="18" customFormat="1" ht="15" customHeight="1">
      <c r="A1354" s="11">
        <v>3909</v>
      </c>
      <c r="B1354" s="12" t="s">
        <v>1450</v>
      </c>
      <c r="C1354" s="13" t="s">
        <v>1238</v>
      </c>
      <c r="D1354" s="15" t="s">
        <v>1370</v>
      </c>
      <c r="E1354" s="9">
        <v>146.3</v>
      </c>
      <c r="F1354" s="9"/>
      <c r="G1354" s="13"/>
      <c r="H1354" s="14" t="str">
        <f>HYPERLINK("https://pulti.ua/kondicionery/pult-dlja-kondicionera-chigo-zhlt-01")</f>
        <v>https://pulti.ua/kondicionery/pult-dlja-kondicionera-chigo-zhlt-01</v>
      </c>
    </row>
    <row r="1355" spans="1:8" s="18" customFormat="1" ht="15" customHeight="1">
      <c r="A1355" s="11">
        <v>4561</v>
      </c>
      <c r="B1355" s="12" t="s">
        <v>1451</v>
      </c>
      <c r="C1355" s="13" t="s">
        <v>1238</v>
      </c>
      <c r="D1355" s="15" t="s">
        <v>1370</v>
      </c>
      <c r="E1355" s="9">
        <v>168.8</v>
      </c>
      <c r="F1355" s="9"/>
      <c r="G1355" s="13"/>
      <c r="H1355" s="14" t="str">
        <f>HYPERLINK("https://pulti.ua/kondicionery/pult-dlya-konditsionera-delfa-rg53b-bge")</f>
        <v>https://pulti.ua/kondicionery/pult-dlya-konditsionera-delfa-rg53b-bge</v>
      </c>
    </row>
    <row r="1356" spans="1:8" s="18" customFormat="1" ht="15" customHeight="1">
      <c r="A1356" s="11">
        <v>4768</v>
      </c>
      <c r="B1356" s="12" t="s">
        <v>1452</v>
      </c>
      <c r="C1356" s="13" t="s">
        <v>1238</v>
      </c>
      <c r="D1356" s="14"/>
      <c r="E1356" s="9">
        <v>221.3</v>
      </c>
      <c r="F1356" s="9">
        <f>D1356*E1356</f>
        <v>0</v>
      </c>
      <c r="G1356" s="13"/>
      <c r="H1356" s="14" t="str">
        <f>HYPERLINK("https://pulti.ua/kondicionery/pult-dlya-kondicionera-electra-rc08a")</f>
        <v>https://pulti.ua/kondicionery/pult-dlya-kondicionera-electra-rc08a</v>
      </c>
    </row>
    <row r="1357" spans="1:8" s="18" customFormat="1" ht="15" customHeight="1">
      <c r="A1357" s="11">
        <v>4560</v>
      </c>
      <c r="B1357" s="12" t="s">
        <v>1453</v>
      </c>
      <c r="C1357" s="13" t="s">
        <v>1238</v>
      </c>
      <c r="D1357" s="14"/>
      <c r="E1357" s="9">
        <v>153.8</v>
      </c>
      <c r="F1357" s="9">
        <f>D1357*E1357</f>
        <v>0</v>
      </c>
      <c r="G1357" s="13"/>
      <c r="H1357" s="14" t="str">
        <f>HYPERLINK("https://pulti.ua/kondicionery/pult-dlya-konditsionera-electra-rc-3")</f>
        <v>https://pulti.ua/kondicionery/pult-dlya-konditsionera-electra-rc-3</v>
      </c>
    </row>
    <row r="1358" spans="1:8" s="18" customFormat="1" ht="15" customHeight="1">
      <c r="A1358" s="11">
        <v>4196</v>
      </c>
      <c r="B1358" s="12" t="s">
        <v>1454</v>
      </c>
      <c r="C1358" s="13" t="s">
        <v>1238</v>
      </c>
      <c r="D1358" s="14"/>
      <c r="E1358" s="9">
        <v>187.5</v>
      </c>
      <c r="F1358" s="9">
        <f>D1358*E1358</f>
        <v>0</v>
      </c>
      <c r="G1358" s="13"/>
      <c r="H1358" s="14" t="str">
        <f>HYPERLINK("https://pulti.ua/kondicionery/originalnyiy-pult-dlya-konditsionera-general-gold-ykr-i-001e")</f>
        <v>https://pulti.ua/kondicionery/originalnyiy-pult-dlya-konditsionera-general-gold-ykr-i-001e</v>
      </c>
    </row>
    <row r="1359" spans="1:8" s="18" customFormat="1" ht="15" customHeight="1">
      <c r="A1359" s="11">
        <v>4205</v>
      </c>
      <c r="B1359" s="12" t="s">
        <v>1455</v>
      </c>
      <c r="C1359" s="13" t="s">
        <v>1238</v>
      </c>
      <c r="D1359" s="14"/>
      <c r="E1359" s="9">
        <v>168.8</v>
      </c>
      <c r="F1359" s="9">
        <f>D1359*E1359</f>
        <v>0</v>
      </c>
      <c r="G1359" s="13"/>
      <c r="H1359" s="14" t="str">
        <f>HYPERLINK("https://pulti.ua/kondicionery/originalnyiy-pult-dlya-konditsionera-general-lux-zh-tt-02")</f>
        <v>https://pulti.ua/kondicionery/originalnyiy-pult-dlya-konditsionera-general-lux-zh-tt-02</v>
      </c>
    </row>
    <row r="1360" spans="1:8" s="18" customFormat="1" ht="15" customHeight="1">
      <c r="A1360" s="11">
        <v>3741</v>
      </c>
      <c r="B1360" s="12" t="s">
        <v>1456</v>
      </c>
      <c r="C1360" s="13" t="s">
        <v>1238</v>
      </c>
      <c r="D1360" s="15" t="s">
        <v>1370</v>
      </c>
      <c r="E1360" s="9">
        <v>127.5</v>
      </c>
      <c r="F1360" s="9"/>
      <c r="G1360" s="13"/>
      <c r="H1360" s="14" t="str">
        <f>HYPERLINK("https://pulti.ua/kondicionery/pult-dlja-kondicionerov-gree-09sn")</f>
        <v>https://pulti.ua/kondicionery/pult-dlja-kondicionerov-gree-09sn</v>
      </c>
    </row>
    <row r="1361" spans="1:8" s="18" customFormat="1" ht="15" customHeight="1">
      <c r="A1361" s="11">
        <v>4367</v>
      </c>
      <c r="B1361" s="12" t="s">
        <v>1457</v>
      </c>
      <c r="C1361" s="13" t="s">
        <v>1238</v>
      </c>
      <c r="D1361" s="14"/>
      <c r="E1361" s="9">
        <v>206.3</v>
      </c>
      <c r="F1361" s="9">
        <f>D1361*E1361</f>
        <v>0</v>
      </c>
      <c r="G1361" s="13"/>
      <c r="H1361" s="14" t="str">
        <f>HYPERLINK("https://pulti.ua/kondicionery/pult-dlya-konditsionera-gree-yan1f1")</f>
        <v>https://pulti.ua/kondicionery/pult-dlya-konditsionera-gree-yan1f1</v>
      </c>
    </row>
    <row r="1362" spans="1:8" s="18" customFormat="1" ht="15" customHeight="1">
      <c r="A1362" s="11">
        <v>4776</v>
      </c>
      <c r="B1362" s="12" t="s">
        <v>1458</v>
      </c>
      <c r="C1362" s="13" t="s">
        <v>1238</v>
      </c>
      <c r="D1362" s="14"/>
      <c r="E1362" s="9">
        <v>153.8</v>
      </c>
      <c r="F1362" s="9">
        <f>D1362*E1362</f>
        <v>0</v>
      </c>
      <c r="G1362" s="13"/>
      <c r="H1362" s="14" t="str">
        <f>HYPERLINK("https://pulti.ua/kondicionery/pult-dlya-kondicionera-gree-yaw1f")</f>
        <v>https://pulti.ua/kondicionery/pult-dlya-kondicionera-gree-yaw1f</v>
      </c>
    </row>
    <row r="1363" spans="1:8" s="18" customFormat="1" ht="15" customHeight="1">
      <c r="A1363" s="11">
        <v>4323</v>
      </c>
      <c r="B1363" s="12" t="s">
        <v>1459</v>
      </c>
      <c r="C1363" s="13" t="s">
        <v>1238</v>
      </c>
      <c r="D1363" s="14"/>
      <c r="E1363" s="9">
        <v>116.3</v>
      </c>
      <c r="F1363" s="9">
        <f>D1363*E1363</f>
        <v>0</v>
      </c>
      <c r="G1363" s="13"/>
      <c r="H1363" s="14" t="str">
        <f>HYPERLINK("https://pulti.ua/kondicionery/pult-dlya-konditsionera-gree-yt1f")</f>
        <v>https://pulti.ua/kondicionery/pult-dlya-konditsionera-gree-yt1f</v>
      </c>
    </row>
    <row r="1364" spans="1:8" s="18" customFormat="1" ht="15" customHeight="1">
      <c r="A1364" s="11">
        <v>4555</v>
      </c>
      <c r="B1364" s="12" t="s">
        <v>1460</v>
      </c>
      <c r="C1364" s="13" t="s">
        <v>1238</v>
      </c>
      <c r="D1364" s="14"/>
      <c r="E1364" s="9">
        <v>153.8</v>
      </c>
      <c r="F1364" s="9">
        <f>D1364*E1364</f>
        <v>0</v>
      </c>
      <c r="G1364" s="13"/>
      <c r="H1364" s="14" t="str">
        <f>HYPERLINK("https://pulti.ua/kondicionery/pult-dlya-konditsionera-hisense-gd11j1-91")</f>
        <v>https://pulti.ua/kondicionery/pult-dlya-konditsionera-hisense-gd11j1-91</v>
      </c>
    </row>
    <row r="1365" spans="1:8" s="18" customFormat="1" ht="15" customHeight="1">
      <c r="A1365" s="11">
        <v>3906</v>
      </c>
      <c r="B1365" s="12" t="s">
        <v>1461</v>
      </c>
      <c r="C1365" s="13" t="s">
        <v>1238</v>
      </c>
      <c r="D1365" s="14"/>
      <c r="E1365" s="9">
        <v>153.8</v>
      </c>
      <c r="F1365" s="9">
        <f>D1365*E1365</f>
        <v>0</v>
      </c>
      <c r="G1365" s="13"/>
      <c r="H1365" s="14" t="str">
        <f>HYPERLINK("https://pulti.ua/kondicionery/pult-dlja-kondicionera-honda-hd-12hra4f")</f>
        <v>https://pulti.ua/kondicionery/pult-dlja-kondicionera-honda-hd-12hra4f</v>
      </c>
    </row>
    <row r="1366" spans="1:8" s="18" customFormat="1" ht="15" customHeight="1">
      <c r="A1366" s="11">
        <v>4380</v>
      </c>
      <c r="B1366" s="12" t="s">
        <v>1462</v>
      </c>
      <c r="C1366" s="13" t="s">
        <v>1238</v>
      </c>
      <c r="D1366" s="15" t="s">
        <v>1370</v>
      </c>
      <c r="E1366" s="9">
        <v>112.5</v>
      </c>
      <c r="F1366" s="9"/>
      <c r="G1366" s="13"/>
      <c r="H1366" s="14" t="str">
        <f>HYPERLINK("https://pulti.ua/kondicionery/pult-dlya-konditsionera-hpc-pt-07h")</f>
        <v>https://pulti.ua/kondicionery/pult-dlya-konditsionera-hpc-pt-07h</v>
      </c>
    </row>
    <row r="1367" spans="1:8" s="18" customFormat="1" ht="15" customHeight="1">
      <c r="A1367" s="11">
        <v>3907</v>
      </c>
      <c r="B1367" s="12" t="s">
        <v>1463</v>
      </c>
      <c r="C1367" s="13" t="s">
        <v>1238</v>
      </c>
      <c r="D1367" s="14"/>
      <c r="E1367" s="9">
        <v>127.5</v>
      </c>
      <c r="F1367" s="9">
        <f>D1367*E1367</f>
        <v>0</v>
      </c>
      <c r="G1367" s="13"/>
      <c r="H1367" s="14" t="str">
        <f>HYPERLINK("https://pulti.ua/kondicionery/pult-dlja-kondicionera-lg-6711a20077l")</f>
        <v>https://pulti.ua/kondicionery/pult-dlja-kondicionera-lg-6711a20077l</v>
      </c>
    </row>
    <row r="1368" spans="1:8" s="18" customFormat="1" ht="15" customHeight="1">
      <c r="A1368" s="11">
        <v>2129</v>
      </c>
      <c r="B1368" s="12" t="s">
        <v>1464</v>
      </c>
      <c r="C1368" s="13" t="s">
        <v>1238</v>
      </c>
      <c r="D1368" s="14"/>
      <c r="E1368" s="9">
        <v>142.5</v>
      </c>
      <c r="F1368" s="9">
        <f>D1368*E1368</f>
        <v>0</v>
      </c>
      <c r="G1368" s="13"/>
      <c r="H1368" s="14" t="str">
        <f>HYPERLINK("https://pulti.ua/kondicionery/pult-dlja-kondicionerov-lg-kt-lg1")</f>
        <v>https://pulti.ua/kondicionery/pult-dlja-kondicionerov-lg-kt-lg1</v>
      </c>
    </row>
    <row r="1369" spans="1:8" s="18" customFormat="1" ht="15" customHeight="1">
      <c r="A1369" s="11">
        <v>2136</v>
      </c>
      <c r="B1369" s="12" t="s">
        <v>1465</v>
      </c>
      <c r="C1369" s="13" t="s">
        <v>1238</v>
      </c>
      <c r="D1369" s="14"/>
      <c r="E1369" s="9">
        <v>138.8</v>
      </c>
      <c r="F1369" s="9">
        <f>D1369*E1369</f>
        <v>0</v>
      </c>
      <c r="G1369" s="13"/>
      <c r="H1369" s="14" t="str">
        <f>HYPERLINK("https://pulti.ua/kondicionery/pult-dlja-kondicionerov-lg-kt-lg2")</f>
        <v>https://pulti.ua/kondicionery/pult-dlja-kondicionerov-lg-kt-lg2</v>
      </c>
    </row>
    <row r="1370" spans="1:8" s="18" customFormat="1" ht="15" customHeight="1">
      <c r="A1370" s="11">
        <v>3905</v>
      </c>
      <c r="B1370" s="12" t="s">
        <v>1466</v>
      </c>
      <c r="C1370" s="13" t="s">
        <v>1238</v>
      </c>
      <c r="D1370" s="14"/>
      <c r="E1370" s="9">
        <v>131.3</v>
      </c>
      <c r="F1370" s="9">
        <f>D1370*E1370</f>
        <v>0</v>
      </c>
      <c r="G1370" s="13"/>
      <c r="H1370" s="14" t="str">
        <f>HYPERLINK("https://pulti.ua/kondicionery/pult-dlja-kondicionera-mitsubishi-rkx502a001")</f>
        <v>https://pulti.ua/kondicionery/pult-dlja-kondicionera-mitsubishi-rkx502a001</v>
      </c>
    </row>
    <row r="1371" spans="1:8" s="18" customFormat="1" ht="15" customHeight="1">
      <c r="A1371" s="11">
        <v>4440</v>
      </c>
      <c r="B1371" s="12" t="s">
        <v>1467</v>
      </c>
      <c r="C1371" s="13" t="s">
        <v>1238</v>
      </c>
      <c r="D1371" s="14"/>
      <c r="E1371" s="9">
        <v>206.3</v>
      </c>
      <c r="F1371" s="9">
        <f>D1371*E1371</f>
        <v>0</v>
      </c>
      <c r="G1371" s="13"/>
      <c r="H1371" s="14" t="str">
        <f>HYPERLINK("https://pulti.ua/kondicionery/pult-dlya-konditsionera-midea-blanc-rg70a-bgef")</f>
        <v>https://pulti.ua/kondicionery/pult-dlya-konditsionera-midea-blanc-rg70a-bgef</v>
      </c>
    </row>
    <row r="1372" spans="1:8" s="18" customFormat="1" ht="15" customHeight="1">
      <c r="A1372" s="11">
        <v>3910</v>
      </c>
      <c r="B1372" s="12" t="s">
        <v>1468</v>
      </c>
      <c r="C1372" s="13" t="s">
        <v>1238</v>
      </c>
      <c r="D1372" s="15" t="s">
        <v>1370</v>
      </c>
      <c r="E1372" s="9">
        <v>150</v>
      </c>
      <c r="F1372" s="9"/>
      <c r="G1372" s="13"/>
      <c r="H1372" s="14" t="str">
        <f>HYPERLINK("https://pulti.ua/kondicionery/pult-dlja-kondicionera-midea-komeco-r06-bgce")</f>
        <v>https://pulti.ua/kondicionery/pult-dlja-kondicionera-midea-komeco-r06-bgce</v>
      </c>
    </row>
    <row r="1373" spans="1:8" s="18" customFormat="1" ht="15" customHeight="1">
      <c r="A1373" s="11">
        <v>4439</v>
      </c>
      <c r="B1373" s="12" t="s">
        <v>1469</v>
      </c>
      <c r="C1373" s="13" t="s">
        <v>1238</v>
      </c>
      <c r="D1373" s="14"/>
      <c r="E1373" s="9">
        <v>206.3</v>
      </c>
      <c r="F1373" s="9">
        <f>D1373*E1373</f>
        <v>0</v>
      </c>
      <c r="G1373" s="13"/>
      <c r="H1373" s="14" t="str">
        <f>HYPERLINK("https://pulti.ua/kondicionery/pult-dlya-konditsionera-midea-mission-rg58b-bge")</f>
        <v>https://pulti.ua/kondicionery/pult-dlya-konditsionera-midea-mission-rg58b-bge</v>
      </c>
    </row>
    <row r="1374" spans="1:8" s="18" customFormat="1" ht="15" customHeight="1">
      <c r="A1374" s="11">
        <v>3540</v>
      </c>
      <c r="B1374" s="12" t="s">
        <v>1470</v>
      </c>
      <c r="C1374" s="13" t="s">
        <v>1238</v>
      </c>
      <c r="D1374" s="14"/>
      <c r="E1374" s="9">
        <v>157.5</v>
      </c>
      <c r="F1374" s="9">
        <f>D1374*E1374</f>
        <v>0</v>
      </c>
      <c r="G1374" s="13"/>
      <c r="H1374" s="14" t="str">
        <f>HYPERLINK("https://pulti.ua/kondicionery/pult-dlja-kondicionerov-midea-r07bge")</f>
        <v>https://pulti.ua/kondicionery/pult-dlja-kondicionerov-midea-r07bge</v>
      </c>
    </row>
    <row r="1375" spans="1:8" s="18" customFormat="1" ht="15" customHeight="1">
      <c r="A1375" s="11">
        <v>3536</v>
      </c>
      <c r="B1375" s="12" t="s">
        <v>1471</v>
      </c>
      <c r="C1375" s="13" t="s">
        <v>1238</v>
      </c>
      <c r="D1375" s="15" t="s">
        <v>1370</v>
      </c>
      <c r="E1375" s="9">
        <v>150</v>
      </c>
      <c r="F1375" s="9"/>
      <c r="G1375" s="13"/>
      <c r="H1375" s="14" t="str">
        <f>HYPERLINK("https://pulti.ua/kondicionery/pult-dlja-kondicionerov-midea-r51me")</f>
        <v>https://pulti.ua/kondicionery/pult-dlja-kondicionerov-midea-r51me</v>
      </c>
    </row>
    <row r="1376" spans="1:8" s="18" customFormat="1" ht="15" customHeight="1">
      <c r="A1376" s="11">
        <v>4192</v>
      </c>
      <c r="B1376" s="12" t="s">
        <v>1472</v>
      </c>
      <c r="C1376" s="13" t="s">
        <v>1238</v>
      </c>
      <c r="D1376" s="14"/>
      <c r="E1376" s="9">
        <v>131.3</v>
      </c>
      <c r="F1376" s="9">
        <f>D1376*E1376</f>
        <v>0</v>
      </c>
      <c r="G1376" s="13"/>
      <c r="H1376" s="14" t="str">
        <f>HYPERLINK("https://pulti.ua/kondicionery/pult-dlya-konditsionera-midea-rn02a-b")</f>
        <v>https://pulti.ua/kondicionery/pult-dlya-konditsionera-midea-rn02a-b</v>
      </c>
    </row>
    <row r="1377" spans="1:8" s="18" customFormat="1" ht="15" customHeight="1">
      <c r="A1377" s="11">
        <v>3742</v>
      </c>
      <c r="B1377" s="12" t="s">
        <v>1473</v>
      </c>
      <c r="C1377" s="13" t="s">
        <v>1238</v>
      </c>
      <c r="D1377" s="14"/>
      <c r="E1377" s="9">
        <v>131.3</v>
      </c>
      <c r="F1377" s="9">
        <f>D1377*E1377</f>
        <v>0</v>
      </c>
      <c r="G1377" s="13"/>
      <c r="H1377" s="14" t="str">
        <f>HYPERLINK("https://pulti.ua/kondicionery/pult-dlja-kondicionerov-mitsubishi-09-01mt")</f>
        <v>https://pulti.ua/kondicionery/pult-dlja-kondicionerov-mitsubishi-09-01mt</v>
      </c>
    </row>
    <row r="1378" spans="1:8" s="18" customFormat="1" ht="15" customHeight="1">
      <c r="A1378" s="11">
        <v>3659</v>
      </c>
      <c r="B1378" s="12" t="s">
        <v>1474</v>
      </c>
      <c r="C1378" s="13" t="s">
        <v>1238</v>
      </c>
      <c r="D1378" s="14"/>
      <c r="E1378" s="9">
        <v>138.8</v>
      </c>
      <c r="F1378" s="9">
        <f>D1378*E1378</f>
        <v>0</v>
      </c>
      <c r="G1378" s="13"/>
      <c r="H1378" s="14" t="str">
        <f>HYPERLINK("https://pulti.ua/kondicionery/pult-dlja-kondicionerov-mitsubishi-09-12")</f>
        <v>https://pulti.ua/kondicionery/pult-dlja-kondicionerov-mitsubishi-09-12</v>
      </c>
    </row>
    <row r="1379" spans="1:8" s="18" customFormat="1" ht="15" customHeight="1">
      <c r="A1379" s="11">
        <v>4366</v>
      </c>
      <c r="B1379" s="12" t="s">
        <v>1475</v>
      </c>
      <c r="C1379" s="13" t="s">
        <v>1238</v>
      </c>
      <c r="D1379" s="14"/>
      <c r="E1379" s="9">
        <v>206.3</v>
      </c>
      <c r="F1379" s="9">
        <f>D1379*E1379</f>
        <v>0</v>
      </c>
      <c r="G1379" s="13"/>
      <c r="H1379" s="14" t="str">
        <f>HYPERLINK("https://pulti.ua/kondicionery/originalnyiy-pult-dlya-konditsionera-mitsubishi-mlz-ka25va")</f>
        <v>https://pulti.ua/kondicionery/originalnyiy-pult-dlya-konditsionera-mitsubishi-mlz-ka25va</v>
      </c>
    </row>
    <row r="1380" spans="1:8" s="18" customFormat="1" ht="15" customHeight="1">
      <c r="A1380" s="11">
        <v>3903</v>
      </c>
      <c r="B1380" s="12" t="s">
        <v>1476</v>
      </c>
      <c r="C1380" s="13" t="s">
        <v>1238</v>
      </c>
      <c r="D1380" s="14"/>
      <c r="E1380" s="9">
        <v>174.4</v>
      </c>
      <c r="F1380" s="9">
        <f>D1380*E1380</f>
        <v>0</v>
      </c>
      <c r="G1380" s="13"/>
      <c r="H1380" s="14" t="str">
        <f>HYPERLINK("https://pulti.ua/kondicionery/pult-dlja-kondicionera-mitsubishi-rks502a503")</f>
        <v>https://pulti.ua/kondicionery/pult-dlja-kondicionera-mitsubishi-rks502a503</v>
      </c>
    </row>
    <row r="1381" spans="1:8" s="18" customFormat="1" ht="15" customHeight="1">
      <c r="A1381" s="11">
        <v>3904</v>
      </c>
      <c r="B1381" s="12" t="s">
        <v>1477</v>
      </c>
      <c r="C1381" s="13" t="s">
        <v>1238</v>
      </c>
      <c r="D1381" s="15" t="s">
        <v>1370</v>
      </c>
      <c r="E1381" s="9">
        <v>153.8</v>
      </c>
      <c r="F1381" s="9"/>
      <c r="G1381" s="13"/>
      <c r="H1381" s="14" t="str">
        <f>HYPERLINK("https://pulti.ua/kondicionery/pult-dlja-kondicionera-mitsubishi-rkx502a001")</f>
        <v>https://pulti.ua/kondicionery/pult-dlja-kondicionera-mitsubishi-rkx502a001</v>
      </c>
    </row>
    <row r="1382" spans="1:8" s="18" customFormat="1" ht="15" customHeight="1">
      <c r="A1382" s="11">
        <v>3539</v>
      </c>
      <c r="B1382" s="12" t="s">
        <v>1478</v>
      </c>
      <c r="C1382" s="13" t="s">
        <v>1238</v>
      </c>
      <c r="D1382" s="14"/>
      <c r="E1382" s="9">
        <v>150</v>
      </c>
      <c r="F1382" s="9">
        <f>D1382*E1382</f>
        <v>0</v>
      </c>
      <c r="G1382" s="13"/>
      <c r="H1382" s="14" t="str">
        <f>HYPERLINK("https://pulti.ua/kondicionery/pult-dlja-kondicionerov-orion-gsh-07")</f>
        <v>https://pulti.ua/kondicionery/pult-dlja-kondicionerov-orion-gsh-07</v>
      </c>
    </row>
    <row r="1383" spans="1:8" s="18" customFormat="1" ht="15" customHeight="1">
      <c r="A1383" s="11">
        <v>3743</v>
      </c>
      <c r="B1383" s="12" t="s">
        <v>1479</v>
      </c>
      <c r="C1383" s="13" t="s">
        <v>1238</v>
      </c>
      <c r="D1383" s="15" t="s">
        <v>1370</v>
      </c>
      <c r="E1383" s="9">
        <v>138.8</v>
      </c>
      <c r="F1383" s="9"/>
      <c r="G1383" s="13"/>
      <c r="H1383" s="14" t="str">
        <f>HYPERLINK("https://pulti.ua/kondicionery/pult-dlja-kondicionerov-panasonic-15-12-09")</f>
        <v>https://pulti.ua/kondicionery/pult-dlja-kondicionerov-panasonic-15-12-09</v>
      </c>
    </row>
    <row r="1384" spans="1:8" s="18" customFormat="1" ht="15" customHeight="1">
      <c r="A1384" s="11">
        <v>4871</v>
      </c>
      <c r="B1384" s="12" t="s">
        <v>1480</v>
      </c>
      <c r="C1384" s="13" t="s">
        <v>1238</v>
      </c>
      <c r="D1384" s="15" t="s">
        <v>1370</v>
      </c>
      <c r="E1384" s="9"/>
      <c r="F1384" s="9"/>
      <c r="G1384" s="13"/>
      <c r="H1384" s="14"/>
    </row>
    <row r="1385" spans="1:8" s="18" customFormat="1" ht="15" customHeight="1">
      <c r="A1385" s="11">
        <v>4777</v>
      </c>
      <c r="B1385" s="12" t="s">
        <v>1481</v>
      </c>
      <c r="C1385" s="13" t="s">
        <v>1238</v>
      </c>
      <c r="D1385" s="15" t="s">
        <v>1370</v>
      </c>
      <c r="E1385" s="9">
        <v>161.3</v>
      </c>
      <c r="F1385" s="9"/>
      <c r="G1385" s="13"/>
      <c r="H1385" s="14" t="str">
        <f>HYPERLINK("https://pulti.ua/kondicionery/pult-dlya-kondicionera-parker-yx1f")</f>
        <v>https://pulti.ua/kondicionery/pult-dlya-kondicionera-parker-yx1f</v>
      </c>
    </row>
    <row r="1386" spans="1:8" s="18" customFormat="1" ht="15" customHeight="1">
      <c r="A1386" s="11">
        <v>3007</v>
      </c>
      <c r="B1386" s="12" t="s">
        <v>1482</v>
      </c>
      <c r="C1386" s="13" t="s">
        <v>1238</v>
      </c>
      <c r="D1386" s="14"/>
      <c r="E1386" s="9">
        <v>206.3</v>
      </c>
      <c r="F1386" s="9">
        <f>D1386*E1386</f>
        <v>0</v>
      </c>
      <c r="G1386" s="13"/>
      <c r="H1386" s="14" t="str">
        <f>HYPERLINK("https://pulti.ua/kondicionery/pult-samsung-arh-1362-originalnii")</f>
        <v>https://pulti.ua/kondicionery/pult-samsung-arh-1362-originalnii</v>
      </c>
    </row>
    <row r="1387" spans="1:8" s="18" customFormat="1" ht="15" customHeight="1">
      <c r="A1387" s="11">
        <v>3663</v>
      </c>
      <c r="B1387" s="12" t="s">
        <v>1483</v>
      </c>
      <c r="C1387" s="13" t="s">
        <v>1238</v>
      </c>
      <c r="D1387" s="14"/>
      <c r="E1387" s="9">
        <v>168.8</v>
      </c>
      <c r="F1387" s="9">
        <f>D1387*E1387</f>
        <v>0</v>
      </c>
      <c r="G1387" s="13"/>
      <c r="H1387" s="14" t="str">
        <f>HYPERLINK("https://pulti.ua/kondicionery/pult-dlja-kondicionerov-samsung-arh-2201")</f>
        <v>https://pulti.ua/kondicionery/pult-dlja-kondicionerov-samsung-arh-2201</v>
      </c>
    </row>
    <row r="1388" spans="1:8" s="18" customFormat="1" ht="15" customHeight="1">
      <c r="A1388" s="11">
        <v>4558</v>
      </c>
      <c r="B1388" s="12" t="s">
        <v>1484</v>
      </c>
      <c r="C1388" s="13" t="s">
        <v>1238</v>
      </c>
      <c r="D1388" s="14"/>
      <c r="E1388" s="9">
        <v>153.8</v>
      </c>
      <c r="F1388" s="9">
        <f>D1388*E1388</f>
        <v>0</v>
      </c>
      <c r="G1388" s="13"/>
      <c r="H1388" s="14" t="str">
        <f>HYPERLINK("https://pulti.ua/kondicionery/pult-dlya-konditsionera-samsung-db63-03556x003")</f>
        <v>https://pulti.ua/kondicionery/pult-dlya-konditsionera-samsung-db63-03556x003</v>
      </c>
    </row>
    <row r="1389" spans="1:8" s="18" customFormat="1" ht="15" customHeight="1">
      <c r="A1389" s="11">
        <v>3662</v>
      </c>
      <c r="B1389" s="12" t="s">
        <v>1485</v>
      </c>
      <c r="C1389" s="13" t="s">
        <v>1238</v>
      </c>
      <c r="D1389" s="15" t="s">
        <v>1370</v>
      </c>
      <c r="E1389" s="9">
        <v>168.8</v>
      </c>
      <c r="F1389" s="9"/>
      <c r="G1389" s="13"/>
      <c r="H1389" s="14" t="str">
        <f>HYPERLINK("https://pulti.ua/kondicionery/pult-dlja-kondicionerov-samsung-db93-11115h")</f>
        <v>https://pulti.ua/kondicionery/pult-dlja-kondicionerov-samsung-db93-11115h</v>
      </c>
    </row>
    <row r="1390" spans="1:8" s="18" customFormat="1" ht="15" customHeight="1">
      <c r="A1390" s="11">
        <v>2140</v>
      </c>
      <c r="B1390" s="12" t="s">
        <v>1486</v>
      </c>
      <c r="C1390" s="13" t="s">
        <v>1238</v>
      </c>
      <c r="D1390" s="15" t="s">
        <v>1419</v>
      </c>
      <c r="E1390" s="9">
        <v>138.8</v>
      </c>
      <c r="F1390" s="9"/>
      <c r="G1390" s="13"/>
      <c r="H1390" s="14" t="str">
        <f>HYPERLINK("https://pulti.ua/kondicionery/pult-dlja-kondicionerov-samsung-kt-ss1a")</f>
        <v>https://pulti.ua/kondicionery/pult-dlja-kondicionerov-samsung-kt-ss1a</v>
      </c>
    </row>
    <row r="1391" spans="1:8" s="18" customFormat="1" ht="15" customHeight="1">
      <c r="A1391" s="11">
        <v>4259</v>
      </c>
      <c r="B1391" s="12" t="s">
        <v>1487</v>
      </c>
      <c r="C1391" s="13" t="s">
        <v>1238</v>
      </c>
      <c r="D1391" s="14"/>
      <c r="E1391" s="9">
        <v>142.5</v>
      </c>
      <c r="F1391" s="9">
        <f aca="true" t="shared" si="43" ref="F1391:F1396">D1391*E1391</f>
        <v>0</v>
      </c>
      <c r="G1391" s="13"/>
      <c r="H1391" s="14" t="str">
        <f>HYPERLINK("https://pulti.ua/kondicionery/pult-dlya-konditsionera-saturn-st-07aph")</f>
        <v>https://pulti.ua/kondicionery/pult-dlya-konditsionera-saturn-st-07aph</v>
      </c>
    </row>
    <row r="1392" spans="1:8" s="18" customFormat="1" ht="15" customHeight="1">
      <c r="A1392" s="11">
        <v>4324</v>
      </c>
      <c r="B1392" s="12" t="s">
        <v>1488</v>
      </c>
      <c r="C1392" s="13" t="s">
        <v>1238</v>
      </c>
      <c r="D1392" s="14"/>
      <c r="E1392" s="9">
        <v>148.1</v>
      </c>
      <c r="F1392" s="9">
        <f t="shared" si="43"/>
        <v>0</v>
      </c>
      <c r="G1392" s="13"/>
      <c r="H1392" s="14" t="str">
        <f>HYPERLINK("https://pulti.ua/kondicionery/pult-dlya-konditsionera-saturn-st-07tlhr-bio")</f>
        <v>https://pulti.ua/kondicionery/pult-dlya-konditsionera-saturn-st-07tlhr-bio</v>
      </c>
    </row>
    <row r="1393" spans="1:8" s="18" customFormat="1" ht="15" customHeight="1">
      <c r="A1393" s="11">
        <v>3537</v>
      </c>
      <c r="B1393" s="12" t="s">
        <v>1489</v>
      </c>
      <c r="C1393" s="13" t="s">
        <v>1238</v>
      </c>
      <c r="D1393" s="14"/>
      <c r="E1393" s="9">
        <v>150</v>
      </c>
      <c r="F1393" s="9">
        <f t="shared" si="43"/>
        <v>0</v>
      </c>
      <c r="G1393" s="13"/>
      <c r="H1393" s="14" t="str">
        <f>HYPERLINK("https://pulti.ua/kondicionery/pult-dlja-kondicionerov-saturn-honda-kaiser-ykr-f002")</f>
        <v>https://pulti.ua/kondicionery/pult-dlja-kondicionerov-saturn-honda-kaiser-ykr-f002</v>
      </c>
    </row>
    <row r="1394" spans="1:8" s="18" customFormat="1" ht="15" customHeight="1">
      <c r="A1394" s="11">
        <v>3660</v>
      </c>
      <c r="B1394" s="12" t="s">
        <v>1490</v>
      </c>
      <c r="C1394" s="13" t="s">
        <v>1238</v>
      </c>
      <c r="D1394" s="14"/>
      <c r="E1394" s="9">
        <v>138.8</v>
      </c>
      <c r="F1394" s="9">
        <f t="shared" si="43"/>
        <v>0</v>
      </c>
      <c r="G1394" s="13"/>
      <c r="H1394" s="14" t="str">
        <f>HYPERLINK("https://pulti.ua/kondicionery/pult-dlja-kondicionerov-sharp-invert")</f>
        <v>https://pulti.ua/kondicionery/pult-dlja-kondicionerov-sharp-invert</v>
      </c>
    </row>
    <row r="1395" spans="1:8" s="18" customFormat="1" ht="15" customHeight="1">
      <c r="A1395" s="11">
        <v>4559</v>
      </c>
      <c r="B1395" s="12" t="s">
        <v>1491</v>
      </c>
      <c r="C1395" s="13" t="s">
        <v>1238</v>
      </c>
      <c r="D1395" s="14"/>
      <c r="E1395" s="9">
        <v>168.8</v>
      </c>
      <c r="F1395" s="9">
        <f t="shared" si="43"/>
        <v>0</v>
      </c>
      <c r="G1395" s="13"/>
      <c r="H1395" s="14" t="str">
        <f>HYPERLINK("https://pulti.ua/kondicionery/pult-dlya-konditsionera-siemens-rg57b-bge")</f>
        <v>https://pulti.ua/kondicionery/pult-dlya-konditsionera-siemens-rg57b-bge</v>
      </c>
    </row>
    <row r="1396" spans="1:8" s="18" customFormat="1" ht="15" customHeight="1">
      <c r="A1396" s="11">
        <v>4881</v>
      </c>
      <c r="B1396" s="12" t="s">
        <v>1492</v>
      </c>
      <c r="C1396" s="13" t="s">
        <v>1238</v>
      </c>
      <c r="D1396" s="14"/>
      <c r="E1396" s="9">
        <v>168.8</v>
      </c>
      <c r="F1396" s="9">
        <f t="shared" si="43"/>
        <v>0</v>
      </c>
      <c r="G1396" s="13"/>
      <c r="H1396" s="14"/>
    </row>
    <row r="1397" spans="1:8" s="18" customFormat="1" ht="15" customHeight="1">
      <c r="A1397" s="11">
        <v>3661</v>
      </c>
      <c r="B1397" s="12" t="s">
        <v>1493</v>
      </c>
      <c r="C1397" s="13" t="s">
        <v>1238</v>
      </c>
      <c r="D1397" s="15" t="s">
        <v>1370</v>
      </c>
      <c r="E1397" s="9">
        <v>161.3</v>
      </c>
      <c r="F1397" s="9"/>
      <c r="G1397" s="13"/>
      <c r="H1397" s="14" t="str">
        <f>HYPERLINK("https://pulti.ua/kondicionery/pult-dlja-kondicionerov-tcl-07-09")</f>
        <v>https://pulti.ua/kondicionery/pult-dlja-kondicionerov-tcl-07-09</v>
      </c>
    </row>
    <row r="1398" spans="1:8" s="18" customFormat="1" ht="15" customHeight="1">
      <c r="A1398" s="11">
        <v>4872</v>
      </c>
      <c r="B1398" s="12" t="s">
        <v>1494</v>
      </c>
      <c r="C1398" s="13" t="s">
        <v>1238</v>
      </c>
      <c r="D1398" s="14"/>
      <c r="E1398" s="9">
        <v>258.8</v>
      </c>
      <c r="F1398" s="9">
        <f aca="true" t="shared" si="44" ref="F1398:F1423">D1398*E1398</f>
        <v>0</v>
      </c>
      <c r="G1398" s="13"/>
      <c r="H1398" s="14" t="str">
        <f>HYPERLINK("https://pulti.ua/kondicionery/pult-dlya-kondiczionera-tcl-tac-09chsaxa71-inverter")</f>
        <v>https://pulti.ua/kondicionery/pult-dlya-kondiczionera-tcl-tac-09chsaxa71-inverter</v>
      </c>
    </row>
    <row r="1399" spans="1:8" s="18" customFormat="1" ht="15" customHeight="1">
      <c r="A1399" s="11">
        <v>3740</v>
      </c>
      <c r="B1399" s="12" t="s">
        <v>1495</v>
      </c>
      <c r="C1399" s="13" t="s">
        <v>1238</v>
      </c>
      <c r="D1399" s="14"/>
      <c r="E1399" s="9">
        <v>138.8</v>
      </c>
      <c r="F1399" s="9">
        <f t="shared" si="44"/>
        <v>0</v>
      </c>
      <c r="G1399" s="13"/>
      <c r="H1399" s="14" t="str">
        <f>HYPERLINK("https://pulti.ua/kondicionery/pult-dlja-kondicionerov-toshiba-ras-09")</f>
        <v>https://pulti.ua/kondicionery/pult-dlja-kondicionerov-toshiba-ras-09</v>
      </c>
    </row>
    <row r="1400" spans="1:8" s="18" customFormat="1" ht="15" customHeight="1">
      <c r="A1400" s="11">
        <v>4322</v>
      </c>
      <c r="B1400" s="12" t="s">
        <v>1496</v>
      </c>
      <c r="C1400" s="13" t="s">
        <v>1238</v>
      </c>
      <c r="D1400" s="14"/>
      <c r="E1400" s="9">
        <v>153.8</v>
      </c>
      <c r="F1400" s="9">
        <f t="shared" si="44"/>
        <v>0</v>
      </c>
      <c r="G1400" s="13"/>
      <c r="H1400" s="14" t="str">
        <f>HYPERLINK("https://pulti.ua/kondicionery/pult-dlya-konditsionera-voltas-yk-h-006e")</f>
        <v>https://pulti.ua/kondicionery/pult-dlya-konditsionera-voltas-yk-h-006e</v>
      </c>
    </row>
    <row r="1401" spans="1:8" s="18" customFormat="1" ht="15" customHeight="1">
      <c r="A1401" s="11">
        <v>4221</v>
      </c>
      <c r="B1401" s="12" t="s">
        <v>1497</v>
      </c>
      <c r="C1401" s="13" t="s">
        <v>1238</v>
      </c>
      <c r="D1401" s="14"/>
      <c r="E1401" s="9">
        <v>221.3</v>
      </c>
      <c r="F1401" s="9">
        <f t="shared" si="44"/>
        <v>0</v>
      </c>
      <c r="G1401" s="13"/>
      <c r="H1401" s="14" t="str">
        <f>HYPERLINK("https://pulti.ua/kondicionery/originalnyiy-pult-dlya-konditsionera-york-0010401314t")</f>
        <v>https://pulti.ua/kondicionery/originalnyiy-pult-dlya-konditsionera-york-0010401314t</v>
      </c>
    </row>
    <row r="1402" spans="1:8" s="18" customFormat="1" ht="15" customHeight="1">
      <c r="A1402" s="39">
        <v>3471</v>
      </c>
      <c r="B1402" s="26" t="s">
        <v>1498</v>
      </c>
      <c r="C1402" s="13" t="s">
        <v>1238</v>
      </c>
      <c r="D1402" s="14"/>
      <c r="E1402" s="9">
        <v>127.5</v>
      </c>
      <c r="F1402" s="9">
        <f t="shared" si="44"/>
        <v>0</v>
      </c>
      <c r="G1402" s="13"/>
      <c r="H1402" s="14" t="str">
        <f>HYPERLINK("https://pulti.ua/universalnie-pulti/pult-dlja-kondicionerov-samsung-kt-sa1089-universalnii")</f>
        <v>https://pulti.ua/universalnie-pulti/pult-dlja-kondicionerov-samsung-kt-sa1089-universalnii</v>
      </c>
    </row>
    <row r="1403" spans="1:8" s="18" customFormat="1" ht="15" customHeight="1">
      <c r="A1403" s="11">
        <v>3803</v>
      </c>
      <c r="B1403" s="12" t="s">
        <v>1499</v>
      </c>
      <c r="C1403" s="13" t="s">
        <v>1238</v>
      </c>
      <c r="D1403" s="14"/>
      <c r="E1403" s="9">
        <v>112.5</v>
      </c>
      <c r="F1403" s="9">
        <f t="shared" si="44"/>
        <v>0</v>
      </c>
      <c r="G1403" s="13"/>
      <c r="H1403" s="14" t="str">
        <f>HYPERLINK("https://pulti.ua/universalnie-pulti/pult-dlja-chunghop-k-1010e-1000-v-1-universalnii-dlja-kondicionerov")</f>
        <v>https://pulti.ua/universalnie-pulti/pult-dlja-chunghop-k-1010e-1000-v-1-universalnii-dlja-kondicionerov</v>
      </c>
    </row>
    <row r="1404" spans="1:8" s="18" customFormat="1" ht="15" customHeight="1">
      <c r="A1404" s="11">
        <v>4084</v>
      </c>
      <c r="B1404" s="12" t="s">
        <v>1500</v>
      </c>
      <c r="C1404" s="13" t="s">
        <v>1238</v>
      </c>
      <c r="D1404" s="14"/>
      <c r="E1404" s="9">
        <v>206.3</v>
      </c>
      <c r="F1404" s="9">
        <f t="shared" si="44"/>
        <v>0</v>
      </c>
      <c r="G1404" s="13"/>
      <c r="H1404" s="14" t="str">
        <f>HYPERLINK("https://pulti.ua/kondicionery/universalnyiy-pult-dlya-konditsionera-chunghop-k-108es-1000-kodov")</f>
        <v>https://pulti.ua/kondicionery/universalnyiy-pult-dlya-konditsionera-chunghop-k-108es-1000-kodov</v>
      </c>
    </row>
    <row r="1405" spans="1:8" s="18" customFormat="1" ht="15" customHeight="1">
      <c r="A1405" s="11">
        <v>4085</v>
      </c>
      <c r="B1405" s="12" t="s">
        <v>1501</v>
      </c>
      <c r="C1405" s="13" t="s">
        <v>1238</v>
      </c>
      <c r="D1405" s="14"/>
      <c r="E1405" s="9">
        <v>206.3</v>
      </c>
      <c r="F1405" s="9">
        <f t="shared" si="44"/>
        <v>0</v>
      </c>
      <c r="G1405" s="13"/>
      <c r="H1405" s="14" t="str">
        <f>HYPERLINK("https://pulti.ua/kondicionery/universalnyiy-pult-dlya-konditsionera-chunghop-k-209es-1000-kodov")</f>
        <v>https://pulti.ua/kondicionery/universalnyiy-pult-dlya-konditsionera-chunghop-k-209es-1000-kodov</v>
      </c>
    </row>
    <row r="1406" spans="1:8" s="18" customFormat="1" ht="15" customHeight="1">
      <c r="A1406" s="11">
        <v>2579</v>
      </c>
      <c r="B1406" s="12" t="s">
        <v>1502</v>
      </c>
      <c r="C1406" s="13" t="s">
        <v>1238</v>
      </c>
      <c r="D1406" s="14"/>
      <c r="E1406" s="9">
        <v>255</v>
      </c>
      <c r="F1406" s="9">
        <f t="shared" si="44"/>
        <v>0</v>
      </c>
      <c r="G1406" s="13"/>
      <c r="H1406" s="14" t="str">
        <f>HYPERLINK("https://pulti.ua/kondicionery/pult-dlja-chunghop-q1e-1000-kodov-universalnii--dlja-kondicionerov")</f>
        <v>https://pulti.ua/kondicionery/pult-dlja-chunghop-q1e-1000-kodov-universalnii--dlja-kondicionerov</v>
      </c>
    </row>
    <row r="1407" spans="1:8" s="18" customFormat="1" ht="15" customHeight="1">
      <c r="A1407" s="39">
        <v>3475</v>
      </c>
      <c r="B1407" s="26" t="s">
        <v>1503</v>
      </c>
      <c r="C1407" s="13" t="s">
        <v>1238</v>
      </c>
      <c r="D1407" s="14"/>
      <c r="E1407" s="9">
        <v>123.8</v>
      </c>
      <c r="F1407" s="9">
        <f t="shared" si="44"/>
        <v>0</v>
      </c>
      <c r="G1407" s="13"/>
      <c r="H1407" s="14" t="str">
        <f>HYPERLINK("https://pulti.ua/universalnie-pulti/pult-dlja-huayu-k-1036eplusl-1000-v-1-universalnii-dlja-kondicionerov")</f>
        <v>https://pulti.ua/universalnie-pulti/pult-dlja-huayu-k-1036eplusl-1000-v-1-universalnii-dlja-kondicionerov</v>
      </c>
    </row>
    <row r="1408" spans="1:8" s="18" customFormat="1" ht="15" customHeight="1">
      <c r="A1408" s="39">
        <v>4131</v>
      </c>
      <c r="B1408" s="26" t="s">
        <v>1504</v>
      </c>
      <c r="C1408" s="13" t="s">
        <v>1238</v>
      </c>
      <c r="D1408" s="14"/>
      <c r="E1408" s="9">
        <v>97.5</v>
      </c>
      <c r="F1408" s="9">
        <f t="shared" si="44"/>
        <v>0</v>
      </c>
      <c r="G1408" s="13"/>
      <c r="H1408" s="14" t="str">
        <f>HYPERLINK("https://pulti.ua/kondicionery/universalnyiy-pult-huayu-dlya-konditsionera-k-2e-5000-kodov")</f>
        <v>https://pulti.ua/kondicionery/universalnyiy-pult-huayu-dlya-konditsionera-k-2e-5000-kodov</v>
      </c>
    </row>
    <row r="1409" spans="1:8" s="18" customFormat="1" ht="15" customHeight="1">
      <c r="A1409" s="39">
        <v>4132</v>
      </c>
      <c r="B1409" s="26" t="s">
        <v>1505</v>
      </c>
      <c r="C1409" s="13" t="s">
        <v>1238</v>
      </c>
      <c r="D1409" s="14"/>
      <c r="E1409" s="9">
        <v>97.5</v>
      </c>
      <c r="F1409" s="9">
        <f t="shared" si="44"/>
        <v>0</v>
      </c>
      <c r="G1409" s="13"/>
      <c r="H1409" s="14" t="str">
        <f>HYPERLINK("https://pulti.ua/kondicionery/universalnyiy-pult-dlya-konditsionera-huayu-k-3e-5000-kodov")</f>
        <v>https://pulti.ua/kondicionery/universalnyiy-pult-dlya-konditsionera-huayu-k-3e-5000-kodov</v>
      </c>
    </row>
    <row r="1410" spans="1:8" s="18" customFormat="1" ht="15" customHeight="1">
      <c r="A1410" s="39">
        <v>4341</v>
      </c>
      <c r="B1410" s="26" t="s">
        <v>1506</v>
      </c>
      <c r="C1410" s="13" t="s">
        <v>1238</v>
      </c>
      <c r="D1410" s="14"/>
      <c r="E1410" s="9">
        <v>206.3</v>
      </c>
      <c r="F1410" s="9">
        <f t="shared" si="44"/>
        <v>0</v>
      </c>
      <c r="G1410" s="13"/>
      <c r="H1410" s="14" t="str">
        <f>HYPERLINK("https://pulti.ua/kondicionery/universalnyiy-pult-dlya-konditsionera-huayu-k-6100-4000-kodov")</f>
        <v>https://pulti.ua/kondicionery/universalnyiy-pult-dlya-konditsionera-huayu-k-6100-4000-kodov</v>
      </c>
    </row>
    <row r="1411" spans="1:8" s="18" customFormat="1" ht="15" customHeight="1">
      <c r="A1411" s="11">
        <v>2581</v>
      </c>
      <c r="B1411" s="12" t="s">
        <v>1507</v>
      </c>
      <c r="C1411" s="13" t="s">
        <v>1238</v>
      </c>
      <c r="D1411" s="14"/>
      <c r="E1411" s="9">
        <v>116.3</v>
      </c>
      <c r="F1411" s="9">
        <f t="shared" si="44"/>
        <v>0</v>
      </c>
      <c r="G1411" s="13"/>
      <c r="H1411" s="14" t="str">
        <f>HYPERLINK("https://pulti.ua/kondicionery/pult-dlja-kt-518-518-kodov-universalnii--dlja-kondicionerov")</f>
        <v>https://pulti.ua/kondicionery/pult-dlja-kt-518-518-kodov-universalnii--dlja-kondicionerov</v>
      </c>
    </row>
    <row r="1412" spans="1:8" s="18" customFormat="1" ht="15" customHeight="1">
      <c r="A1412" s="11">
        <v>4273</v>
      </c>
      <c r="B1412" s="12" t="s">
        <v>1508</v>
      </c>
      <c r="C1412" s="13" t="s">
        <v>1238</v>
      </c>
      <c r="D1412" s="14"/>
      <c r="E1412" s="9">
        <v>228.8</v>
      </c>
      <c r="F1412" s="9">
        <f t="shared" si="44"/>
        <v>0</v>
      </c>
      <c r="G1412" s="13"/>
      <c r="H1412" s="14" t="str">
        <f>HYPERLINK("https://pulti.ua/kondicionery/universalnyiy-pult-dlya-konditsionera-qunda-kt-n898-silver")</f>
        <v>https://pulti.ua/kondicionery/universalnyiy-pult-dlya-konditsionera-qunda-kt-n898-silver</v>
      </c>
    </row>
    <row r="1413" spans="1:8" s="18" customFormat="1" ht="15" customHeight="1">
      <c r="A1413" s="11">
        <v>4276</v>
      </c>
      <c r="B1413" s="12" t="s">
        <v>1509</v>
      </c>
      <c r="C1413" s="13" t="s">
        <v>1238</v>
      </c>
      <c r="D1413" s="14"/>
      <c r="E1413" s="9">
        <v>116.3</v>
      </c>
      <c r="F1413" s="9">
        <f t="shared" si="44"/>
        <v>0</v>
      </c>
      <c r="G1413" s="13"/>
      <c r="H1413" s="14" t="str">
        <f>HYPERLINK("https://pulti.ua/kondicionery/universalnyiy-pult-dlya-konditsionera-qunda-kt-thr01")</f>
        <v>https://pulti.ua/kondicionery/universalnyiy-pult-dlya-konditsionera-qunda-kt-thr01</v>
      </c>
    </row>
    <row r="1414" spans="1:8" s="18" customFormat="1" ht="15" customHeight="1">
      <c r="A1414" s="11">
        <v>4278</v>
      </c>
      <c r="B1414" s="12" t="s">
        <v>1510</v>
      </c>
      <c r="C1414" s="13" t="s">
        <v>1238</v>
      </c>
      <c r="D1414" s="14"/>
      <c r="E1414" s="9">
        <v>140.6</v>
      </c>
      <c r="F1414" s="9">
        <f t="shared" si="44"/>
        <v>0</v>
      </c>
      <c r="G1414" s="13"/>
      <c r="H1414" s="14" t="str">
        <f>HYPERLINK("https://pulti.ua/kondicionery/pult-dlya-konditsionera-lg-kt-lg")</f>
        <v>https://pulti.ua/kondicionery/pult-dlya-konditsionera-lg-kt-lg</v>
      </c>
    </row>
    <row r="1415" spans="1:8" s="18" customFormat="1" ht="15" customHeight="1">
      <c r="A1415" s="39">
        <v>3469</v>
      </c>
      <c r="B1415" s="26" t="s">
        <v>1511</v>
      </c>
      <c r="C1415" s="13" t="s">
        <v>1238</v>
      </c>
      <c r="D1415" s="14"/>
      <c r="E1415" s="9">
        <v>127.5</v>
      </c>
      <c r="F1415" s="9">
        <f t="shared" si="44"/>
        <v>0</v>
      </c>
      <c r="G1415" s="13"/>
      <c r="H1415" s="14" t="str">
        <f>HYPERLINK("https://pulti.ua/universalnie-pulti/pult-dlja-kondicionerov-lg-kt-1108-universalnii")</f>
        <v>https://pulti.ua/universalnie-pulti/pult-dlja-kondicionerov-lg-kt-1108-universalnii</v>
      </c>
    </row>
    <row r="1416" spans="1:8" s="18" customFormat="1" ht="15" customHeight="1">
      <c r="A1416" s="11">
        <v>4279</v>
      </c>
      <c r="B1416" s="12" t="s">
        <v>1512</v>
      </c>
      <c r="C1416" s="13" t="s">
        <v>1238</v>
      </c>
      <c r="D1416" s="14"/>
      <c r="E1416" s="9">
        <v>123.8</v>
      </c>
      <c r="F1416" s="9">
        <f t="shared" si="44"/>
        <v>0</v>
      </c>
      <c r="G1416" s="13"/>
      <c r="H1416" s="14" t="str">
        <f>HYPERLINK("https://pulti.ua/kondicionery/pult-dlya-konditsionera-midea-kt-md-ii")</f>
        <v>https://pulti.ua/kondicionery/pult-dlya-konditsionera-midea-kt-md-ii</v>
      </c>
    </row>
    <row r="1417" spans="1:8" s="18" customFormat="1" ht="15" customHeight="1">
      <c r="A1417" s="39">
        <v>3731</v>
      </c>
      <c r="B1417" s="26" t="s">
        <v>1513</v>
      </c>
      <c r="C1417" s="13" t="s">
        <v>1238</v>
      </c>
      <c r="D1417" s="14"/>
      <c r="E1417" s="9">
        <v>131.3</v>
      </c>
      <c r="F1417" s="9">
        <f t="shared" si="44"/>
        <v>0</v>
      </c>
      <c r="G1417" s="13"/>
      <c r="H1417" s="14" t="str">
        <f>HYPERLINK("https://pulti.ua/kondicionery/pult-dlja-kondicionerov-panasonic-k-pn1122-huayu-universalnii")</f>
        <v>https://pulti.ua/kondicionery/pult-dlja-kondicionerov-panasonic-k-pn1122-huayu-universalnii</v>
      </c>
    </row>
    <row r="1418" spans="1:8" s="18" customFormat="1" ht="15" customHeight="1">
      <c r="A1418" s="11">
        <v>4378</v>
      </c>
      <c r="B1418" s="12" t="s">
        <v>1514</v>
      </c>
      <c r="C1418" s="13" t="s">
        <v>1238</v>
      </c>
      <c r="D1418" s="14"/>
      <c r="E1418" s="9">
        <v>108.8</v>
      </c>
      <c r="F1418" s="9">
        <f t="shared" si="44"/>
        <v>0</v>
      </c>
      <c r="G1418" s="13"/>
      <c r="H1418" s="14" t="str">
        <f>HYPERLINK("https://pulti.ua/kondicionery/universalnyiy-pult-dlya-konditsionera-qunda-kt-3999")</f>
        <v>https://pulti.ua/kondicionery/universalnyiy-pult-dlya-konditsionera-qunda-kt-3999</v>
      </c>
    </row>
    <row r="1419" spans="1:8" s="18" customFormat="1" ht="15" customHeight="1">
      <c r="A1419" s="11">
        <v>4377</v>
      </c>
      <c r="B1419" s="12" t="s">
        <v>1515</v>
      </c>
      <c r="C1419" s="13" t="s">
        <v>1238</v>
      </c>
      <c r="D1419" s="14"/>
      <c r="E1419" s="9">
        <v>116.3</v>
      </c>
      <c r="F1419" s="9">
        <f t="shared" si="44"/>
        <v>0</v>
      </c>
      <c r="G1419" s="13"/>
      <c r="H1419" s="14" t="str">
        <f>HYPERLINK("https://pulti.ua/kondicionery/universalnyiy-pult-dlya-konditsionera-qunda-kt-6018")</f>
        <v>https://pulti.ua/kondicionery/universalnyiy-pult-dlya-konditsionera-qunda-kt-6018</v>
      </c>
    </row>
    <row r="1420" spans="1:8" s="18" customFormat="1" ht="15" customHeight="1">
      <c r="A1420" s="11">
        <v>2586</v>
      </c>
      <c r="B1420" s="12" t="s">
        <v>1516</v>
      </c>
      <c r="C1420" s="13" t="s">
        <v>1238</v>
      </c>
      <c r="D1420" s="14"/>
      <c r="E1420" s="9">
        <v>123.8</v>
      </c>
      <c r="F1420" s="9">
        <f t="shared" si="44"/>
        <v>0</v>
      </c>
      <c r="G1420" s="13"/>
      <c r="H1420" s="14" t="str">
        <f>HYPERLINK("https://pulti.ua/kondicionery/pult-dlja-qunda-kt-9018-universalnii-dlja-kondicionerov4000-kodov")</f>
        <v>https://pulti.ua/kondicionery/pult-dlja-qunda-kt-9018-universalnii-dlja-kondicionerov4000-kodov</v>
      </c>
    </row>
    <row r="1421" spans="1:8" s="18" customFormat="1" ht="15" customHeight="1">
      <c r="A1421" s="11">
        <v>3541</v>
      </c>
      <c r="B1421" s="12" t="s">
        <v>1517</v>
      </c>
      <c r="C1421" s="13" t="s">
        <v>1238</v>
      </c>
      <c r="D1421" s="14"/>
      <c r="E1421" s="9">
        <v>144.4</v>
      </c>
      <c r="F1421" s="9">
        <f t="shared" si="44"/>
        <v>0</v>
      </c>
      <c r="G1421" s="13"/>
      <c r="H1421" s="14" t="str">
        <f>HYPERLINK("https://pulti.ua/universalnie-i-programmiruemie-pulti/universalnie-pulty/pult-dlja-qunda-kt-axuniversalnii-dlja-kondicionerov-saturn-delfa-liberton-mirta")</f>
        <v>https://pulti.ua/universalnie-i-programmiruemie-pulti/universalnie-pulty/pult-dlja-qunda-kt-axuniversalnii-dlja-kondicionerov-saturn-delfa-liberton-mirta</v>
      </c>
    </row>
    <row r="1422" spans="1:8" s="18" customFormat="1" ht="15" customHeight="1">
      <c r="A1422" s="11">
        <v>3542</v>
      </c>
      <c r="B1422" s="12" t="s">
        <v>1518</v>
      </c>
      <c r="C1422" s="13" t="s">
        <v>1238</v>
      </c>
      <c r="D1422" s="14"/>
      <c r="E1422" s="9">
        <v>135</v>
      </c>
      <c r="F1422" s="9">
        <f t="shared" si="44"/>
        <v>0</v>
      </c>
      <c r="G1422" s="13"/>
      <c r="H1422" s="14" t="str">
        <f>HYPERLINK("https://pulti.ua/universalnie-pulti/pult-dlja-qunda-kt-cg4euniversalnii-dlja-kondicionerov-chigo-sensei")</f>
        <v>https://pulti.ua/universalnie-pulti/pult-dlja-qunda-kt-cg4euniversalnii-dlja-kondicionerov-chigo-sensei</v>
      </c>
    </row>
    <row r="1423" spans="1:8" s="18" customFormat="1" ht="15" customHeight="1">
      <c r="A1423" s="11">
        <v>2127</v>
      </c>
      <c r="B1423" s="12" t="s">
        <v>1519</v>
      </c>
      <c r="C1423" s="13" t="s">
        <v>1238</v>
      </c>
      <c r="D1423" s="14"/>
      <c r="E1423" s="9">
        <v>120</v>
      </c>
      <c r="F1423" s="9">
        <f t="shared" si="44"/>
        <v>0</v>
      </c>
      <c r="G1423" s="13"/>
      <c r="H1423" s="14" t="str">
        <f>HYPERLINK("https://pulti.ua/kondicionery/pult-dlja--kt-e08-6000-kodov-universalnii-dlja-kondicionerov")</f>
        <v>https://pulti.ua/kondicionery/pult-dlja--kt-e08-6000-kodov-universalnii-dlja-kondicionerov</v>
      </c>
    </row>
    <row r="1424" spans="1:8" s="18" customFormat="1" ht="15" customHeight="1">
      <c r="A1424" s="11">
        <v>3544</v>
      </c>
      <c r="B1424" s="12" t="s">
        <v>1520</v>
      </c>
      <c r="C1424" s="13" t="s">
        <v>1238</v>
      </c>
      <c r="D1424" s="15" t="s">
        <v>1370</v>
      </c>
      <c r="E1424" s="9">
        <v>144.4</v>
      </c>
      <c r="F1424" s="9"/>
      <c r="G1424" s="13"/>
      <c r="H1424" s="14" t="str">
        <f>HYPERLINK("https://pulti.ua/universalnie-i-programmiruemie-pulti/universalnie-pulty/pult-dlja-qunda-kt-gruniversalnii-dlja-kondicionerov-gree-ewt")</f>
        <v>https://pulti.ua/universalnie-i-programmiruemie-pulti/universalnie-pulty/pult-dlja-qunda-kt-gruniversalnii-dlja-kondicionerov-gree-ewt</v>
      </c>
    </row>
    <row r="1425" spans="1:8" s="18" customFormat="1" ht="15" customHeight="1">
      <c r="A1425" s="11">
        <v>3543</v>
      </c>
      <c r="B1425" s="12" t="s">
        <v>1521</v>
      </c>
      <c r="C1425" s="13" t="s">
        <v>1238</v>
      </c>
      <c r="D1425" s="14"/>
      <c r="E1425" s="9">
        <v>150</v>
      </c>
      <c r="F1425" s="9">
        <f>D1425*E1425</f>
        <v>0</v>
      </c>
      <c r="G1425" s="13"/>
      <c r="H1425" s="14" t="str">
        <f>HYPERLINK("https://pulti.ua/universalnie-pulti/pult-dlja-qunda-kt-y512funiversalnii-dlja-kondicionerov-alpari-supra")</f>
        <v>https://pulti.ua/universalnie-pulti/pult-dlja-qunda-kt-y512funiversalnii-dlja-kondicionerov-alpari-supra</v>
      </c>
    </row>
    <row r="1426" spans="1:8" s="18" customFormat="1" ht="15" customHeight="1">
      <c r="A1426" s="11">
        <v>4271</v>
      </c>
      <c r="B1426" s="12" t="s">
        <v>1522</v>
      </c>
      <c r="C1426" s="13" t="s">
        <v>1238</v>
      </c>
      <c r="D1426" s="14"/>
      <c r="E1426" s="9">
        <v>787.5</v>
      </c>
      <c r="F1426" s="9">
        <f>D1426*E1426</f>
        <v>0</v>
      </c>
      <c r="G1426" s="13"/>
      <c r="H1426" s="14" t="str">
        <f>HYPERLINK("https://pulti.ua/kondicionery/universalnyiy-pult-dlya-konditsionera-qunda1")</f>
        <v>https://pulti.ua/kondicionery/universalnyiy-pult-dlya-konditsionera-qunda1</v>
      </c>
    </row>
    <row r="1427" spans="1:8" s="18" customFormat="1" ht="15" customHeight="1">
      <c r="A1427" s="11">
        <v>2138</v>
      </c>
      <c r="B1427" s="12" t="s">
        <v>1523</v>
      </c>
      <c r="C1427" s="13" t="s">
        <v>1238</v>
      </c>
      <c r="D1427" s="14"/>
      <c r="E1427" s="9">
        <v>48.8</v>
      </c>
      <c r="F1427" s="9">
        <f>D1427*E1427</f>
        <v>0</v>
      </c>
      <c r="G1427" s="13"/>
      <c r="H1427" s="14" t="str">
        <f>HYPERLINK("https://pulti.ua/kondicionery/pult-dlja-kt-ss08-universalnii--dlja-kondicionerov-samsung")</f>
        <v>https://pulti.ua/kondicionery/pult-dlja-kt-ss08-universalnii--dlja-kondicionerov-samsung</v>
      </c>
    </row>
    <row r="1428" spans="1:8" s="18" customFormat="1" ht="15" customHeight="1">
      <c r="A1428" s="14"/>
      <c r="B1428" s="16" t="s">
        <v>1239</v>
      </c>
      <c r="C1428" s="14"/>
      <c r="D1428" s="14"/>
      <c r="E1428" s="9"/>
      <c r="F1428" s="9"/>
      <c r="G1428" s="13"/>
      <c r="H1428" s="14"/>
    </row>
    <row r="1429" spans="1:8" s="18" customFormat="1" ht="15" customHeight="1">
      <c r="A1429" s="39">
        <v>3147</v>
      </c>
      <c r="B1429" s="26" t="s">
        <v>1524</v>
      </c>
      <c r="C1429" s="13" t="s">
        <v>1240</v>
      </c>
      <c r="D1429" s="14"/>
      <c r="E1429" s="9">
        <v>75</v>
      </c>
      <c r="F1429" s="9">
        <f>D1429*E1429</f>
        <v>0</v>
      </c>
      <c r="G1429" s="13"/>
      <c r="H1429" s="14" t="str">
        <f>HYPERLINK("https://pulti.ua/obuchaemie-pulti/pult-obuchaemii-dlja-huayu-hl-695e-3-v-1")</f>
        <v>https://pulti.ua/obuchaemie-pulti/pult-obuchaemii-dlja-huayu-hl-695e-3-v-1</v>
      </c>
    </row>
    <row r="1430" spans="1:8" s="18" customFormat="1" ht="15" customHeight="1">
      <c r="A1430" s="39">
        <v>4343</v>
      </c>
      <c r="B1430" s="26" t="s">
        <v>1525</v>
      </c>
      <c r="C1430" s="13" t="s">
        <v>14</v>
      </c>
      <c r="D1430" s="14"/>
      <c r="E1430" s="9">
        <v>101.3</v>
      </c>
      <c r="F1430" s="9">
        <f>D1430*E1430</f>
        <v>0</v>
      </c>
      <c r="G1430" s="13"/>
      <c r="H1430" s="14" t="str">
        <f>HYPERLINK("https://pulti.ua/obuchaemie-pulti/obuchaemyiy-pult-huayu-hl-l1340e")</f>
        <v>https://pulti.ua/obuchaemie-pulti/obuchaemyiy-pult-huayu-hl-l1340e</v>
      </c>
    </row>
    <row r="1431" spans="1:8" s="18" customFormat="1" ht="15" customHeight="1">
      <c r="A1431" s="11">
        <v>3718</v>
      </c>
      <c r="B1431" s="12" t="s">
        <v>1526</v>
      </c>
      <c r="C1431" s="13" t="s">
        <v>1240</v>
      </c>
      <c r="D1431" s="14"/>
      <c r="E1431" s="9">
        <v>82.5</v>
      </c>
      <c r="F1431" s="9">
        <f>D1431*E1431</f>
        <v>0</v>
      </c>
      <c r="G1431" s="13"/>
      <c r="H1431" s="14" t="str">
        <f>HYPERLINK("https://pulti.ua/obuchaemie-pulti/pult-dlja-ihandy-ih-mini85e-obuchaemii")</f>
        <v>https://pulti.ua/obuchaemie-pulti/pult-dlja-ihandy-ih-mini85e-obuchaemii</v>
      </c>
    </row>
    <row r="1432" spans="1:8" s="18" customFormat="1" ht="15" customHeight="1">
      <c r="A1432" s="11">
        <v>4154</v>
      </c>
      <c r="B1432" s="12" t="s">
        <v>1241</v>
      </c>
      <c r="C1432" s="13" t="s">
        <v>1242</v>
      </c>
      <c r="D1432" s="14"/>
      <c r="E1432" s="9">
        <v>712.5</v>
      </c>
      <c r="F1432" s="9">
        <f>D1432*E1432</f>
        <v>0</v>
      </c>
      <c r="G1432" s="13"/>
      <c r="H1432" s="14" t="str">
        <f>HYPERLINK("https://pulti.ua/universalnie-pulti/pult-air-mouse-presenter-rii-r900")</f>
        <v>https://pulti.ua/universalnie-pulti/pult-air-mouse-presenter-rii-r900</v>
      </c>
    </row>
    <row r="1433" spans="1:8" s="18" customFormat="1" ht="15" customHeight="1">
      <c r="A1433" s="11">
        <v>4049</v>
      </c>
      <c r="B1433" s="12" t="s">
        <v>1527</v>
      </c>
      <c r="C1433" s="13" t="s">
        <v>1242</v>
      </c>
      <c r="D1433" s="15" t="s">
        <v>1370</v>
      </c>
      <c r="E1433" s="9">
        <v>243.8</v>
      </c>
      <c r="F1433" s="9"/>
      <c r="G1433" s="13"/>
      <c r="H1433" s="14" t="str">
        <f>HYPERLINK("https://pulti.ua/universalnie-pulti/pult-air-mouse-fly-t2-24g")</f>
        <v>https://pulti.ua/universalnie-pulti/pult-air-mouse-fly-t2-24g</v>
      </c>
    </row>
    <row r="1434" spans="1:8" s="18" customFormat="1" ht="15" customHeight="1">
      <c r="A1434" s="11">
        <v>3440</v>
      </c>
      <c r="B1434" s="12" t="s">
        <v>1528</v>
      </c>
      <c r="C1434" s="13" t="s">
        <v>1242</v>
      </c>
      <c r="D1434" s="14"/>
      <c r="E1434" s="9">
        <v>262.5</v>
      </c>
      <c r="F1434" s="9">
        <f>D1434*E1434</f>
        <v>0</v>
      </c>
      <c r="G1434" s="13"/>
      <c r="H1434" s="14" t="str">
        <f>HYPERLINK("https://pulti.ua/air_mouse/pult-air-mouse-g10bts")</f>
        <v>https://pulti.ua/air_mouse/pult-air-mouse-g10bts</v>
      </c>
    </row>
    <row r="1435" spans="1:8" s="18" customFormat="1" ht="15" customHeight="1">
      <c r="A1435" s="11">
        <v>4501</v>
      </c>
      <c r="B1435" s="12" t="s">
        <v>1529</v>
      </c>
      <c r="C1435" s="13" t="s">
        <v>1242</v>
      </c>
      <c r="D1435" s="14"/>
      <c r="E1435" s="9">
        <v>281.3</v>
      </c>
      <c r="F1435" s="9">
        <f>D1435*E1435</f>
        <v>0</v>
      </c>
      <c r="G1435" s="13"/>
      <c r="H1435" s="14" t="str">
        <f>HYPERLINK("https://pulti.ua/air_mouse/pult-air-mouse-g10s-pro")</f>
        <v>https://pulti.ua/air_mouse/pult-air-mouse-g10s-pro</v>
      </c>
    </row>
    <row r="1436" spans="1:8" s="18" customFormat="1" ht="15" customHeight="1">
      <c r="A1436" s="11">
        <v>4372</v>
      </c>
      <c r="B1436" s="12" t="s">
        <v>1530</v>
      </c>
      <c r="C1436" s="13" t="s">
        <v>1242</v>
      </c>
      <c r="D1436" s="15" t="s">
        <v>1370</v>
      </c>
      <c r="E1436" s="9">
        <v>225</v>
      </c>
      <c r="F1436" s="9"/>
      <c r="G1436" s="13"/>
      <c r="H1436" s="14" t="str">
        <f>HYPERLINK("https://pulti.ua/air_mouse/pult-air-mouse-g10s")</f>
        <v>https://pulti.ua/air_mouse/pult-air-mouse-g10s</v>
      </c>
    </row>
    <row r="1437" spans="1:8" s="18" customFormat="1" ht="15" customHeight="1">
      <c r="A1437" s="11">
        <v>4579</v>
      </c>
      <c r="B1437" s="12" t="s">
        <v>1531</v>
      </c>
      <c r="C1437" s="13" t="s">
        <v>1242</v>
      </c>
      <c r="D1437" s="14"/>
      <c r="E1437" s="9">
        <v>337.5</v>
      </c>
      <c r="F1437" s="9">
        <f aca="true" t="shared" si="45" ref="F1437:F1490">D1437*E1437</f>
        <v>0</v>
      </c>
      <c r="G1437" s="13"/>
      <c r="H1437" s="14" t="str">
        <f>HYPERLINK("https://pulti.ua/air_mouse/pult-air-mouse-g11m-q8m-s-mikrofonom")</f>
        <v>https://pulti.ua/air_mouse/pult-air-mouse-g11m-q8m-s-mikrofonom</v>
      </c>
    </row>
    <row r="1438" spans="1:8" s="18" customFormat="1" ht="15" customHeight="1">
      <c r="A1438" s="11">
        <v>4811</v>
      </c>
      <c r="B1438" s="12" t="s">
        <v>1243</v>
      </c>
      <c r="C1438" s="13" t="s">
        <v>1242</v>
      </c>
      <c r="D1438" s="14"/>
      <c r="E1438" s="9">
        <v>285</v>
      </c>
      <c r="F1438" s="9">
        <f t="shared" si="45"/>
        <v>0</v>
      </c>
      <c r="G1438" s="13"/>
      <c r="H1438" s="14" t="str">
        <f>HYPERLINK("https://pulti.ua/air_mouse/pult-air-mouse-g20bts-s-bluetooth")</f>
        <v>https://pulti.ua/air_mouse/pult-air-mouse-g20bts-s-bluetooth</v>
      </c>
    </row>
    <row r="1439" spans="1:8" s="18" customFormat="1" ht="15" customHeight="1">
      <c r="A1439" s="11">
        <v>4812</v>
      </c>
      <c r="B1439" s="12" t="s">
        <v>1244</v>
      </c>
      <c r="C1439" s="13" t="s">
        <v>1242</v>
      </c>
      <c r="D1439" s="14"/>
      <c r="E1439" s="9">
        <v>360</v>
      </c>
      <c r="F1439" s="9">
        <f t="shared" si="45"/>
        <v>0</v>
      </c>
      <c r="G1439" s="13"/>
      <c r="H1439" s="14" t="str">
        <f>HYPERLINK("https://pulti.ua/air_mouse/pult-air-mouse-g20s-pro-bts-2-4g-s-bluetooth-i-mikrofonom")</f>
        <v>https://pulti.ua/air_mouse/pult-air-mouse-g20s-pro-bts-2-4g-s-bluetooth-i-mikrofonom</v>
      </c>
    </row>
    <row r="1440" spans="1:8" s="18" customFormat="1" ht="15" customHeight="1">
      <c r="A1440" s="11">
        <v>4427</v>
      </c>
      <c r="B1440" s="12" t="s">
        <v>1532</v>
      </c>
      <c r="C1440" s="13" t="s">
        <v>1242</v>
      </c>
      <c r="D1440" s="14"/>
      <c r="E1440" s="9">
        <v>262.5</v>
      </c>
      <c r="F1440" s="9">
        <f t="shared" si="45"/>
        <v>0</v>
      </c>
      <c r="G1440" s="13"/>
      <c r="H1440" s="14" t="str">
        <f>HYPERLINK("https://pulti.ua/air_mouse/pult-air-mouse-g20s")</f>
        <v>https://pulti.ua/air_mouse/pult-air-mouse-g20s</v>
      </c>
    </row>
    <row r="1441" spans="1:8" s="18" customFormat="1" ht="15" customHeight="1">
      <c r="A1441" s="11">
        <v>4545</v>
      </c>
      <c r="B1441" s="12" t="s">
        <v>1533</v>
      </c>
      <c r="C1441" s="13" t="s">
        <v>1242</v>
      </c>
      <c r="D1441" s="14"/>
      <c r="E1441" s="9">
        <v>296.3</v>
      </c>
      <c r="F1441" s="9">
        <f t="shared" si="45"/>
        <v>0</v>
      </c>
      <c r="G1441" s="13"/>
      <c r="H1441" s="14" t="str">
        <f>HYPERLINK("https://pulti.ua/air_mouse/pult-air-mouse-g21-pro")</f>
        <v>https://pulti.ua/air_mouse/pult-air-mouse-g21-pro</v>
      </c>
    </row>
    <row r="1442" spans="1:8" s="18" customFormat="1" ht="15" customHeight="1">
      <c r="A1442" s="11">
        <v>4580</v>
      </c>
      <c r="B1442" s="12" t="s">
        <v>1534</v>
      </c>
      <c r="C1442" s="13" t="s">
        <v>1242</v>
      </c>
      <c r="D1442" s="14"/>
      <c r="E1442" s="9">
        <v>255</v>
      </c>
      <c r="F1442" s="9">
        <f t="shared" si="45"/>
        <v>0</v>
      </c>
      <c r="G1442" s="13"/>
      <c r="H1442" s="14" t="str">
        <f>HYPERLINK("https://pulti.ua/air_mouse/pult-air-mouse-g21s")</f>
        <v>https://pulti.ua/air_mouse/pult-air-mouse-g21s</v>
      </c>
    </row>
    <row r="1443" spans="1:8" s="18" customFormat="1" ht="15" customHeight="1">
      <c r="A1443" s="11">
        <v>4438</v>
      </c>
      <c r="B1443" s="12" t="s">
        <v>1535</v>
      </c>
      <c r="C1443" s="13" t="s">
        <v>1242</v>
      </c>
      <c r="D1443" s="14"/>
      <c r="E1443" s="9">
        <v>318.8</v>
      </c>
      <c r="F1443" s="9">
        <f t="shared" si="45"/>
        <v>0</v>
      </c>
      <c r="G1443" s="13"/>
      <c r="H1443" s="14" t="str">
        <f>HYPERLINK("https://pulti.ua/air_mouse/pult-air-mouse-g30s")</f>
        <v>https://pulti.ua/air_mouse/pult-air-mouse-g30s</v>
      </c>
    </row>
    <row r="1444" spans="1:8" s="18" customFormat="1" ht="15" customHeight="1">
      <c r="A1444" s="11">
        <v>4594</v>
      </c>
      <c r="B1444" s="12" t="s">
        <v>1536</v>
      </c>
      <c r="C1444" s="13" t="s">
        <v>1242</v>
      </c>
      <c r="D1444" s="14"/>
      <c r="E1444" s="9">
        <v>442.5</v>
      </c>
      <c r="F1444" s="9">
        <f t="shared" si="45"/>
        <v>0</v>
      </c>
      <c r="G1444" s="13"/>
      <c r="H1444" s="14" t="str">
        <f>HYPERLINK("https://pulti.ua/air_mouse/pult-air-mouse-g40s-s-mikrofonom")</f>
        <v>https://pulti.ua/air_mouse/pult-air-mouse-g40s-s-mikrofonom</v>
      </c>
    </row>
    <row r="1445" spans="1:8" s="18" customFormat="1" ht="15" customHeight="1">
      <c r="A1445" s="11">
        <v>4568</v>
      </c>
      <c r="B1445" s="12" t="s">
        <v>1537</v>
      </c>
      <c r="C1445" s="13" t="s">
        <v>1242</v>
      </c>
      <c r="D1445" s="14"/>
      <c r="E1445" s="9">
        <v>330</v>
      </c>
      <c r="F1445" s="9">
        <f t="shared" si="45"/>
        <v>0</v>
      </c>
      <c r="G1445" s="13"/>
      <c r="H1445" s="14" t="str">
        <f>HYPERLINK("https://pulti.ua/air_mouse/pult-air-mouse-g50s")</f>
        <v>https://pulti.ua/air_mouse/pult-air-mouse-g50s</v>
      </c>
    </row>
    <row r="1446" spans="1:8" s="18" customFormat="1" ht="15" customHeight="1">
      <c r="A1446" s="11">
        <v>4489</v>
      </c>
      <c r="B1446" s="12" t="s">
        <v>1538</v>
      </c>
      <c r="C1446" s="13" t="s">
        <v>1242</v>
      </c>
      <c r="D1446" s="14"/>
      <c r="E1446" s="9">
        <v>476.3</v>
      </c>
      <c r="F1446" s="9">
        <f t="shared" si="45"/>
        <v>0</v>
      </c>
      <c r="G1446" s="13"/>
      <c r="H1446" s="14" t="str">
        <f>HYPERLINK("https://pulti.ua/air_mouse/pult-air-mouse-keyboard-d8")</f>
        <v>https://pulti.ua/air_mouse/pult-air-mouse-keyboard-d8</v>
      </c>
    </row>
    <row r="1447" spans="1:8" s="18" customFormat="1" ht="15" customHeight="1">
      <c r="A1447" s="11">
        <v>4149</v>
      </c>
      <c r="B1447" s="12" t="s">
        <v>1539</v>
      </c>
      <c r="C1447" s="13" t="s">
        <v>1242</v>
      </c>
      <c r="D1447" s="14"/>
      <c r="E1447" s="9">
        <v>292.5</v>
      </c>
      <c r="F1447" s="9">
        <f t="shared" si="45"/>
        <v>0</v>
      </c>
      <c r="G1447" s="13"/>
      <c r="H1447" s="14" t="str">
        <f>HYPERLINK("https://pulti.ua/universalnie-pulti/pult-air-mouse-mx3-a")</f>
        <v>https://pulti.ua/universalnie-pulti/pult-air-mouse-mx3-a</v>
      </c>
    </row>
    <row r="1448" spans="1:8" s="18" customFormat="1" ht="15" customHeight="1">
      <c r="A1448" s="11">
        <v>4809</v>
      </c>
      <c r="B1448" s="12" t="s">
        <v>1540</v>
      </c>
      <c r="C1448" s="13" t="s">
        <v>1242</v>
      </c>
      <c r="D1448" s="14"/>
      <c r="E1448" s="9">
        <v>243.8</v>
      </c>
      <c r="F1448" s="9">
        <f t="shared" si="45"/>
        <v>0</v>
      </c>
      <c r="G1448" s="13"/>
      <c r="H1448" s="14" t="str">
        <f>HYPERLINK("https://pulti.ua/air_mouse/pult-air-mouse-q1-s-podsvetkoy")</f>
        <v>https://pulti.ua/air_mouse/pult-air-mouse-q1-s-podsvetkoy</v>
      </c>
    </row>
    <row r="1449" spans="1:8" s="18" customFormat="1" ht="15" customHeight="1">
      <c r="A1449" s="11">
        <v>4810</v>
      </c>
      <c r="B1449" s="12" t="s">
        <v>1541</v>
      </c>
      <c r="C1449" s="13" t="s">
        <v>1242</v>
      </c>
      <c r="D1449" s="14"/>
      <c r="E1449" s="9">
        <v>243.8</v>
      </c>
      <c r="F1449" s="9">
        <f t="shared" si="45"/>
        <v>0</v>
      </c>
      <c r="G1449" s="13"/>
      <c r="H1449" s="14" t="str">
        <f>HYPERLINK("https://pulti.ua/air_mouse/pult-air-mouse-q2-s-podsvetkoy")</f>
        <v>https://pulti.ua/air_mouse/pult-air-mouse-q2-s-podsvetkoy</v>
      </c>
    </row>
    <row r="1450" spans="1:8" s="18" customFormat="1" ht="15" customHeight="1">
      <c r="A1450" s="11">
        <v>4492</v>
      </c>
      <c r="B1450" s="12" t="s">
        <v>1542</v>
      </c>
      <c r="C1450" s="13" t="s">
        <v>1242</v>
      </c>
      <c r="D1450" s="14"/>
      <c r="E1450" s="9">
        <v>300</v>
      </c>
      <c r="F1450" s="9">
        <f t="shared" si="45"/>
        <v>0</v>
      </c>
      <c r="G1450" s="13"/>
      <c r="H1450" s="14" t="str">
        <f>HYPERLINK("https://pulti.ua/air_mouse/pult-air-mouse-q5-m")</f>
        <v>https://pulti.ua/air_mouse/pult-air-mouse-q5-m</v>
      </c>
    </row>
    <row r="1451" spans="1:8" s="18" customFormat="1" ht="15" customHeight="1">
      <c r="A1451" s="11">
        <v>4593</v>
      </c>
      <c r="B1451" s="12" t="s">
        <v>1543</v>
      </c>
      <c r="C1451" s="13" t="s">
        <v>1242</v>
      </c>
      <c r="D1451" s="14"/>
      <c r="E1451" s="9">
        <v>322.5</v>
      </c>
      <c r="F1451" s="9">
        <f t="shared" si="45"/>
        <v>0</v>
      </c>
      <c r="G1451" s="13"/>
      <c r="H1451" s="14" t="str">
        <f>HYPERLINK("https://pulti.ua/air_mouse/pult-air-mouse-q6-s-mikrofonom")</f>
        <v>https://pulti.ua/air_mouse/pult-air-mouse-q6-s-mikrofonom</v>
      </c>
    </row>
    <row r="1452" spans="1:8" s="18" customFormat="1" ht="15" customHeight="1">
      <c r="A1452" s="11">
        <v>4581</v>
      </c>
      <c r="B1452" s="12" t="s">
        <v>1544</v>
      </c>
      <c r="C1452" s="13" t="s">
        <v>1242</v>
      </c>
      <c r="D1452" s="14"/>
      <c r="E1452" s="9">
        <v>255</v>
      </c>
      <c r="F1452" s="9">
        <f t="shared" si="45"/>
        <v>0</v>
      </c>
      <c r="G1452" s="13"/>
      <c r="H1452" s="14" t="str">
        <f>HYPERLINK("https://pulti.ua/air_mouse/pult-air-mouse-t1-pro-s-mikrofonom")</f>
        <v>https://pulti.ua/air_mouse/pult-air-mouse-t1-pro-s-mikrofonom</v>
      </c>
    </row>
    <row r="1453" spans="1:8" s="18" customFormat="1" ht="15" customHeight="1">
      <c r="A1453" s="11">
        <v>4067</v>
      </c>
      <c r="B1453" s="12" t="s">
        <v>1545</v>
      </c>
      <c r="C1453" s="13" t="s">
        <v>1242</v>
      </c>
      <c r="D1453" s="14"/>
      <c r="E1453" s="9">
        <v>281.3</v>
      </c>
      <c r="F1453" s="9">
        <f t="shared" si="45"/>
        <v>0</v>
      </c>
      <c r="G1453" s="13"/>
      <c r="H1453" s="14" t="str">
        <f>HYPERLINK("https://pulti.ua/universalnie-pulti/pult-air-mouse-t3-mic")</f>
        <v>https://pulti.ua/universalnie-pulti/pult-air-mouse-t3-mic</v>
      </c>
    </row>
    <row r="1454" spans="1:8" s="18" customFormat="1" ht="15" customHeight="1">
      <c r="A1454" s="11">
        <v>4488</v>
      </c>
      <c r="B1454" s="12" t="s">
        <v>1546</v>
      </c>
      <c r="C1454" s="13" t="s">
        <v>1242</v>
      </c>
      <c r="D1454" s="14"/>
      <c r="E1454" s="9">
        <v>513.8</v>
      </c>
      <c r="F1454" s="9">
        <f t="shared" si="45"/>
        <v>0</v>
      </c>
      <c r="G1454" s="13"/>
      <c r="H1454" s="14" t="str">
        <f>HYPERLINK("https://pulti.ua/air_mouse/pult-air-mouse-wechip-w2")</f>
        <v>https://pulti.ua/air_mouse/pult-air-mouse-wechip-w2</v>
      </c>
    </row>
    <row r="1455" spans="1:8" s="18" customFormat="1" ht="15" customHeight="1">
      <c r="A1455" s="11">
        <v>4805</v>
      </c>
      <c r="B1455" s="12" t="s">
        <v>1547</v>
      </c>
      <c r="C1455" s="13" t="s">
        <v>14</v>
      </c>
      <c r="D1455" s="14"/>
      <c r="E1455" s="9">
        <v>525</v>
      </c>
      <c r="F1455" s="9">
        <f t="shared" si="45"/>
        <v>0</v>
      </c>
      <c r="G1455" s="13"/>
      <c r="H1455" s="14" t="str">
        <f>HYPERLINK("https://pulti.ua/tv/pult-dlya-sony-rmf-tx500e-z-golosovyim-upravleniem")</f>
        <v>https://pulti.ua/tv/pult-dlya-sony-rmf-tx500e-z-golosovyim-upravleniem</v>
      </c>
    </row>
    <row r="1456" spans="1:8" s="18" customFormat="1" ht="15" customHeight="1">
      <c r="A1456" s="39">
        <v>3959</v>
      </c>
      <c r="B1456" s="26" t="s">
        <v>1548</v>
      </c>
      <c r="C1456" s="13" t="s">
        <v>22</v>
      </c>
      <c r="D1456" s="14"/>
      <c r="E1456" s="9">
        <v>131.3</v>
      </c>
      <c r="F1456" s="9">
        <f t="shared" si="45"/>
        <v>0</v>
      </c>
      <c r="G1456" s="13"/>
      <c r="H1456" s="14" t="str">
        <f>HYPERLINK("https://pulti.ua/tv/universalnii-huayu-rm-l1057-8-kodov")</f>
        <v>https://pulti.ua/tv/universalnii-huayu-rm-l1057-8-kodov</v>
      </c>
    </row>
    <row r="1457" spans="1:8" s="18" customFormat="1" ht="15" customHeight="1">
      <c r="A1457" s="11">
        <v>4146</v>
      </c>
      <c r="B1457" s="12" t="s">
        <v>1549</v>
      </c>
      <c r="C1457" s="13" t="s">
        <v>1240</v>
      </c>
      <c r="D1457" s="14"/>
      <c r="E1457" s="9">
        <v>82.5</v>
      </c>
      <c r="F1457" s="9">
        <f t="shared" si="45"/>
        <v>0</v>
      </c>
      <c r="G1457" s="13"/>
      <c r="H1457" s="14" t="str">
        <f>HYPERLINK("https://pulti.ua/universalnie-pulti/universalnyiy-pult-focus-20-in-1-originalnyiy")</f>
        <v>https://pulti.ua/universalnie-pulti/universalnyiy-pult-focus-20-in-1-originalnyiy</v>
      </c>
    </row>
    <row r="1458" spans="1:8" s="18" customFormat="1" ht="15" customHeight="1">
      <c r="A1458" s="39">
        <v>3106</v>
      </c>
      <c r="B1458" s="26" t="s">
        <v>1550</v>
      </c>
      <c r="C1458" s="13" t="s">
        <v>11</v>
      </c>
      <c r="D1458" s="14"/>
      <c r="E1458" s="9">
        <v>71.3</v>
      </c>
      <c r="F1458" s="9">
        <f t="shared" si="45"/>
        <v>0</v>
      </c>
      <c r="G1458" s="13"/>
      <c r="H1458" s="14" t="str">
        <f>HYPERLINK("https://pulti.ua/universalnie-pulti/pult-dlja-huayu-hr-e877-universalnii-instrukcija-russkii-jazik")</f>
        <v>https://pulti.ua/universalnie-pulti/pult-dlja-huayu-hr-e877-universalnii-instrukcija-russkii-jazik</v>
      </c>
    </row>
    <row r="1459" spans="1:8" s="18" customFormat="1" ht="15" customHeight="1">
      <c r="A1459" s="39">
        <v>3754</v>
      </c>
      <c r="B1459" s="26" t="s">
        <v>1551</v>
      </c>
      <c r="C1459" s="13" t="s">
        <v>905</v>
      </c>
      <c r="D1459" s="14"/>
      <c r="E1459" s="9">
        <v>187.5</v>
      </c>
      <c r="F1459" s="9">
        <f t="shared" si="45"/>
        <v>0</v>
      </c>
      <c r="G1459" s="13"/>
      <c r="H1459" s="14" t="str">
        <f>HYPERLINK("https://pulti.ua/universalnie-pulti/pult-dlja-huayu-cisco-motorola-mxv3tv-chernii-universalnii-dlja-interaktivnogo-tv")</f>
        <v>https://pulti.ua/universalnie-pulti/pult-dlja-huayu-cisco-motorola-mxv3tv-chernii-universalnii-dlja-interaktivnogo-tv</v>
      </c>
    </row>
    <row r="1460" spans="1:8" s="18" customFormat="1" ht="15" customHeight="1">
      <c r="A1460" s="39">
        <v>4411</v>
      </c>
      <c r="B1460" s="26" t="s">
        <v>1552</v>
      </c>
      <c r="C1460" s="13" t="s">
        <v>905</v>
      </c>
      <c r="D1460" s="14"/>
      <c r="E1460" s="9">
        <v>69.4</v>
      </c>
      <c r="F1460" s="9">
        <f t="shared" si="45"/>
        <v>0</v>
      </c>
      <c r="G1460" s="13"/>
      <c r="H1460" s="14" t="str">
        <f>HYPERLINK("https://pulti.ua/universalnie-pulti/universalnyiy-pult-huayu-plus-rm-sat1111plus")</f>
        <v>https://pulti.ua/universalnie-pulti/universalnyiy-pult-huayu-plus-rm-sat1111plus</v>
      </c>
    </row>
    <row r="1461" spans="1:8" s="18" customFormat="1" ht="15" customHeight="1">
      <c r="A1461" s="39">
        <v>3687</v>
      </c>
      <c r="B1461" s="26" t="s">
        <v>1553</v>
      </c>
      <c r="C1461" s="13" t="s">
        <v>22</v>
      </c>
      <c r="D1461" s="14"/>
      <c r="E1461" s="9">
        <v>71.3</v>
      </c>
      <c r="F1461" s="9">
        <f t="shared" si="45"/>
        <v>0</v>
      </c>
      <c r="G1461" s="13"/>
      <c r="H1461" s="14" t="str">
        <f>HYPERLINK("https://pulti.ua/universalnie-pulti/pult-dlja-carprojector-rc-820jplusa-universalnii-huayu")</f>
        <v>https://pulti.ua/universalnie-pulti/pult-dlja-carprojector-rc-820jplusa-universalnii-huayu</v>
      </c>
    </row>
    <row r="1462" spans="1:8" s="18" customFormat="1" ht="15" customHeight="1">
      <c r="A1462" s="39">
        <v>2519</v>
      </c>
      <c r="B1462" s="26" t="s">
        <v>1554</v>
      </c>
      <c r="C1462" s="13" t="s">
        <v>905</v>
      </c>
      <c r="D1462" s="14"/>
      <c r="E1462" s="9">
        <v>138.8</v>
      </c>
      <c r="F1462" s="9">
        <f t="shared" si="45"/>
        <v>0</v>
      </c>
      <c r="G1462" s="13"/>
      <c r="H1462" s="14" t="str">
        <f>HYPERLINK("https://pulti.ua/universalnie-pulti/pult-dlja-huayu-rm-b553-universalnii")</f>
        <v>https://pulti.ua/universalnie-pulti/pult-dlja-huayu-rm-b553-universalnii</v>
      </c>
    </row>
    <row r="1463" spans="1:8" s="18" customFormat="1" ht="15" customHeight="1">
      <c r="A1463" s="39">
        <v>3083</v>
      </c>
      <c r="B1463" s="26" t="s">
        <v>1555</v>
      </c>
      <c r="C1463" s="13" t="s">
        <v>905</v>
      </c>
      <c r="D1463" s="14"/>
      <c r="E1463" s="9">
        <v>86.3</v>
      </c>
      <c r="F1463" s="9">
        <f t="shared" si="45"/>
        <v>0</v>
      </c>
      <c r="G1463" s="13"/>
      <c r="H1463" s="14" t="str">
        <f>HYPERLINK("https://pulti.ua/universalnie-pulti/pult-dlja-huayu-rm-b773-universalnii")</f>
        <v>https://pulti.ua/universalnie-pulti/pult-dlja-huayu-rm-b773-universalnii</v>
      </c>
    </row>
    <row r="1464" spans="1:8" s="18" customFormat="1" ht="15" customHeight="1">
      <c r="A1464" s="39">
        <v>4771</v>
      </c>
      <c r="B1464" s="26" t="s">
        <v>1556</v>
      </c>
      <c r="C1464" s="13" t="s">
        <v>909</v>
      </c>
      <c r="D1464" s="14"/>
      <c r="E1464" s="9">
        <v>67.5</v>
      </c>
      <c r="F1464" s="9">
        <f t="shared" si="45"/>
        <v>0</v>
      </c>
      <c r="G1464" s="13"/>
      <c r="H1464" s="14" t="str">
        <f>HYPERLINK("https://pulti.ua/dvb-t2-resivery/universalnyj-pult-huayu-rm-d1258")</f>
        <v>https://pulti.ua/dvb-t2-resivery/universalnyj-pult-huayu-rm-d1258</v>
      </c>
    </row>
    <row r="1465" spans="1:8" s="18" customFormat="1" ht="15" customHeight="1">
      <c r="A1465" s="39">
        <v>3914</v>
      </c>
      <c r="B1465" s="26" t="s">
        <v>1557</v>
      </c>
      <c r="C1465" s="13" t="s">
        <v>905</v>
      </c>
      <c r="D1465" s="14"/>
      <c r="E1465" s="9">
        <v>73.1</v>
      </c>
      <c r="F1465" s="9">
        <f t="shared" si="45"/>
        <v>0</v>
      </c>
      <c r="G1465" s="13"/>
      <c r="H1465" s="14" t="str">
        <f>HYPERLINK("https://pulti.ua/universalnie-pulti/universalnii-huayu-rm-d1266plusb-pult-dlja-sat-i-dvb-t2-tyunerov")</f>
        <v>https://pulti.ua/universalnie-pulti/universalnii-huayu-rm-d1266plusb-pult-dlja-sat-i-dvb-t2-tyunerov</v>
      </c>
    </row>
    <row r="1466" spans="1:8" s="18" customFormat="1" ht="15" customHeight="1">
      <c r="A1466" s="39">
        <v>4474</v>
      </c>
      <c r="B1466" s="26" t="s">
        <v>1558</v>
      </c>
      <c r="C1466" s="13" t="s">
        <v>909</v>
      </c>
      <c r="D1466" s="14"/>
      <c r="E1466" s="9">
        <v>76.9</v>
      </c>
      <c r="F1466" s="9">
        <f t="shared" si="45"/>
        <v>0</v>
      </c>
      <c r="G1466" s="13"/>
      <c r="H1466" s="14" t="str">
        <f>HYPERLINK("https://pulti.ua/dvb-t2-resivery/universalnyiy-pult-huayu-rm-d1555")</f>
        <v>https://pulti.ua/dvb-t2-resivery/universalnyiy-pult-huayu-rm-d1555</v>
      </c>
    </row>
    <row r="1467" spans="1:8" s="18" customFormat="1" ht="15" customHeight="1">
      <c r="A1467" s="39">
        <v>2644</v>
      </c>
      <c r="B1467" s="26" t="s">
        <v>1559</v>
      </c>
      <c r="C1467" s="13" t="s">
        <v>1086</v>
      </c>
      <c r="D1467" s="14"/>
      <c r="E1467" s="9">
        <v>105</v>
      </c>
      <c r="F1467" s="9">
        <f t="shared" si="45"/>
        <v>0</v>
      </c>
      <c r="G1467" s="13"/>
      <c r="H1467" s="14" t="str">
        <f>HYPERLINK("https://pulti.ua/universalnie-pulti/pult-universalnii-dlja-rm-550--for-dvd")</f>
        <v>https://pulti.ua/universalnie-pulti/pult-universalnii-dlja-rm-550--for-dvd</v>
      </c>
    </row>
    <row r="1468" spans="1:8" s="18" customFormat="1" ht="15" customHeight="1">
      <c r="A1468" s="39">
        <v>4342</v>
      </c>
      <c r="B1468" s="26" t="s">
        <v>1560</v>
      </c>
      <c r="C1468" s="13" t="s">
        <v>14</v>
      </c>
      <c r="D1468" s="14"/>
      <c r="E1468" s="9">
        <v>506.3</v>
      </c>
      <c r="F1468" s="9">
        <f t="shared" si="45"/>
        <v>0</v>
      </c>
      <c r="G1468" s="13"/>
      <c r="H1468" s="14" t="str">
        <f>HYPERLINK("https://pulti.ua/universalnie-pulti/universalnyiy-pult-huayu-rm-g3900-dlya-lg-smart-tv")</f>
        <v>https://pulti.ua/universalnie-pulti/universalnyiy-pult-huayu-rm-g3900-dlya-lg-smart-tv</v>
      </c>
    </row>
    <row r="1469" spans="1:8" s="18" customFormat="1" ht="15" customHeight="1">
      <c r="A1469" s="39">
        <v>3750</v>
      </c>
      <c r="B1469" s="26" t="s">
        <v>1561</v>
      </c>
      <c r="C1469" s="13" t="s">
        <v>1245</v>
      </c>
      <c r="D1469" s="14"/>
      <c r="E1469" s="9">
        <v>95.6</v>
      </c>
      <c r="F1469" s="9">
        <f t="shared" si="45"/>
        <v>0</v>
      </c>
      <c r="G1469" s="13"/>
      <c r="H1469" s="14" t="str">
        <f>HYPERLINK("https://pulti.ua/tv/pult-dlja-huayu-rm-l1098plus5-universalnii-ic")</f>
        <v>https://pulti.ua/tv/pult-dlja-huayu-rm-l1098plus5-universalnii-ic</v>
      </c>
    </row>
    <row r="1470" spans="1:8" s="18" customFormat="1" ht="15" customHeight="1">
      <c r="A1470" s="39">
        <v>4578</v>
      </c>
      <c r="B1470" s="26" t="s">
        <v>1562</v>
      </c>
      <c r="C1470" s="13" t="s">
        <v>14</v>
      </c>
      <c r="D1470" s="14"/>
      <c r="E1470" s="9">
        <v>86.3</v>
      </c>
      <c r="F1470" s="9">
        <f t="shared" si="45"/>
        <v>0</v>
      </c>
      <c r="G1470" s="13"/>
      <c r="H1470" s="14" t="str">
        <f>HYPERLINK("https://pulti.ua/tv/universalnyj-pult-huayu-rm-l1120")</f>
        <v>https://pulti.ua/tv/universalnyj-pult-huayu-rm-l1120</v>
      </c>
    </row>
    <row r="1471" spans="1:8" s="18" customFormat="1" ht="15" customHeight="1">
      <c r="A1471" s="39">
        <v>3751</v>
      </c>
      <c r="B1471" s="26" t="s">
        <v>1563</v>
      </c>
      <c r="C1471" s="13" t="s">
        <v>1245</v>
      </c>
      <c r="D1471" s="14"/>
      <c r="E1471" s="9">
        <v>90</v>
      </c>
      <c r="F1471" s="9">
        <f t="shared" si="45"/>
        <v>0</v>
      </c>
      <c r="G1471" s="13"/>
      <c r="H1471" s="14" t="str">
        <f>HYPERLINK("https://pulti.ua/tv/pult-dlja-huayu-rm-l1130plus5-universalnii-ic")</f>
        <v>https://pulti.ua/tv/pult-dlja-huayu-rm-l1130plus5-universalnii-ic</v>
      </c>
    </row>
    <row r="1472" spans="1:8" s="18" customFormat="1" ht="15" customHeight="1">
      <c r="A1472" s="39">
        <v>3799</v>
      </c>
      <c r="B1472" s="26" t="s">
        <v>1564</v>
      </c>
      <c r="C1472" s="13" t="s">
        <v>1245</v>
      </c>
      <c r="D1472" s="14"/>
      <c r="E1472" s="9">
        <v>91.9</v>
      </c>
      <c r="F1472" s="9">
        <f t="shared" si="45"/>
        <v>0</v>
      </c>
      <c r="G1472" s="13"/>
      <c r="H1472" s="14" t="str">
        <f>HYPERLINK("https://pulti.ua/universalnie-pulti/pult-dlja-huayu-rm-l1195plus3-universalnii")</f>
        <v>https://pulti.ua/universalnie-pulti/pult-dlja-huayu-rm-l1195plus3-universalnii</v>
      </c>
    </row>
    <row r="1473" spans="1:8" s="18" customFormat="1" ht="15" customHeight="1">
      <c r="A1473" s="39">
        <v>3926</v>
      </c>
      <c r="B1473" s="26" t="s">
        <v>1565</v>
      </c>
      <c r="C1473" s="13" t="s">
        <v>14</v>
      </c>
      <c r="D1473" s="14"/>
      <c r="E1473" s="9">
        <v>80.6</v>
      </c>
      <c r="F1473" s="9">
        <f t="shared" si="45"/>
        <v>0</v>
      </c>
      <c r="G1473" s="13"/>
      <c r="H1473" s="14" t="str">
        <f>HYPERLINK("https://pulti.ua/universalnie-pulti/universalnii-pult-huayu-dlja-vestel-rm-l1200")</f>
        <v>https://pulti.ua/universalnie-pulti/universalnii-pult-huayu-dlja-vestel-rm-l1200</v>
      </c>
    </row>
    <row r="1474" spans="1:8" s="18" customFormat="1" ht="15" customHeight="1">
      <c r="A1474" s="39">
        <v>4758</v>
      </c>
      <c r="B1474" s="26" t="s">
        <v>1566</v>
      </c>
      <c r="C1474" s="13" t="s">
        <v>14</v>
      </c>
      <c r="D1474" s="14"/>
      <c r="E1474" s="9">
        <v>91.9</v>
      </c>
      <c r="F1474" s="9">
        <f t="shared" si="45"/>
        <v>0</v>
      </c>
      <c r="G1474" s="13"/>
      <c r="H1474" s="14" t="str">
        <f>HYPERLINK("https://pulti.ua/tv/universalnyj-pult-huayu-rm-l1316")</f>
        <v>https://pulti.ua/tv/universalnyj-pult-huayu-rm-l1316</v>
      </c>
    </row>
    <row r="1475" spans="1:8" s="18" customFormat="1" ht="15" customHeight="1">
      <c r="A1475" s="39">
        <v>4564</v>
      </c>
      <c r="B1475" s="26" t="s">
        <v>1567</v>
      </c>
      <c r="C1475" s="13" t="s">
        <v>14</v>
      </c>
      <c r="D1475" s="14"/>
      <c r="E1475" s="9">
        <v>73.1</v>
      </c>
      <c r="F1475" s="9">
        <f t="shared" si="45"/>
        <v>0</v>
      </c>
      <c r="G1475" s="13"/>
      <c r="H1475" s="14" t="str">
        <f>HYPERLINK("https://pulti.ua/universalnie-i-programmiruemie-pulti/universalnie-pulti/universalnyj-pult-huayu-dlya-vestel-rm-l1386")</f>
        <v>https://pulti.ua/universalnie-i-programmiruemie-pulti/universalnie-pulti/universalnyj-pult-huayu-dlya-vestel-rm-l1386</v>
      </c>
    </row>
    <row r="1476" spans="1:8" s="18" customFormat="1" ht="15" customHeight="1">
      <c r="A1476" s="39">
        <v>4325</v>
      </c>
      <c r="B1476" s="26" t="s">
        <v>1568</v>
      </c>
      <c r="C1476" s="13" t="s">
        <v>14</v>
      </c>
      <c r="D1476" s="14"/>
      <c r="E1476" s="9">
        <v>80.6</v>
      </c>
      <c r="F1476" s="9">
        <f t="shared" si="45"/>
        <v>0</v>
      </c>
      <c r="G1476" s="13"/>
      <c r="H1476" s="14" t="str">
        <f>HYPERLINK("https://pulti.ua/universalnie-pulti/universalnyiy-pult-huayu-rm-l1388")</f>
        <v>https://pulti.ua/universalnie-pulti/universalnyiy-pult-huayu-rm-l1388</v>
      </c>
    </row>
    <row r="1477" spans="1:8" s="18" customFormat="1" ht="15" customHeight="1">
      <c r="A1477" s="39">
        <v>4781</v>
      </c>
      <c r="B1477" s="26" t="s">
        <v>1246</v>
      </c>
      <c r="C1477" s="13" t="s">
        <v>1245</v>
      </c>
      <c r="D1477" s="14"/>
      <c r="E1477" s="9">
        <v>75</v>
      </c>
      <c r="F1477" s="9">
        <f t="shared" si="45"/>
        <v>0</v>
      </c>
      <c r="G1477" s="13"/>
      <c r="H1477" s="14" t="str">
        <f>HYPERLINK("https://pulti.ua/universalnie-i-programmiruemie-pulti/universalnie-pulty/universalnyiy-pult-huayu-rm-l1688")</f>
        <v>https://pulti.ua/universalnie-i-programmiruemie-pulti/universalnie-pulty/universalnyiy-pult-huayu-rm-l1688</v>
      </c>
    </row>
    <row r="1478" spans="1:8" s="18" customFormat="1" ht="15" customHeight="1">
      <c r="A1478" s="39">
        <v>3927</v>
      </c>
      <c r="B1478" s="26" t="s">
        <v>1569</v>
      </c>
      <c r="C1478" s="13" t="s">
        <v>905</v>
      </c>
      <c r="D1478" s="14"/>
      <c r="E1478" s="9">
        <v>67.5</v>
      </c>
      <c r="F1478" s="9">
        <f t="shared" si="45"/>
        <v>0</v>
      </c>
      <c r="G1478" s="13"/>
      <c r="H1478" s="14" t="str">
        <f>HYPERLINK("https://pulti.ua/universalnie-pulti/universalnii-pult-huayu-rm-sat1111plusd-pult-dlja-sat-i-dvb-t2-tyunerov")</f>
        <v>https://pulti.ua/universalnie-pulti/universalnii-pult-huayu-rm-sat1111plusd-pult-dlja-sat-i-dvb-t2-tyunerov</v>
      </c>
    </row>
    <row r="1479" spans="1:8" s="18" customFormat="1" ht="15" customHeight="1">
      <c r="A1479" s="39">
        <v>4144</v>
      </c>
      <c r="B1479" s="26" t="s">
        <v>1570</v>
      </c>
      <c r="C1479" s="13" t="s">
        <v>14</v>
      </c>
      <c r="D1479" s="14"/>
      <c r="E1479" s="9">
        <v>562.5</v>
      </c>
      <c r="F1479" s="9">
        <f t="shared" si="45"/>
        <v>0</v>
      </c>
      <c r="G1479" s="13"/>
      <c r="H1479" s="14" t="str">
        <f>HYPERLINK("https://pulti.ua/tv/universalnyiy-pult-huayu-sr-600-dlya-lg-smart-tv")</f>
        <v>https://pulti.ua/tv/universalnyiy-pult-huayu-sr-600-dlya-lg-smart-tv</v>
      </c>
    </row>
    <row r="1480" spans="1:8" s="18" customFormat="1" ht="15" customHeight="1">
      <c r="A1480" s="39">
        <v>3992</v>
      </c>
      <c r="B1480" s="26" t="s">
        <v>1571</v>
      </c>
      <c r="C1480" s="13" t="s">
        <v>14</v>
      </c>
      <c r="D1480" s="14"/>
      <c r="E1480" s="9">
        <v>600</v>
      </c>
      <c r="F1480" s="9">
        <f t="shared" si="45"/>
        <v>0</v>
      </c>
      <c r="G1480" s="13"/>
      <c r="H1480" s="14" t="str">
        <f>HYPERLINK("https://pulti.ua/tv/universalnii-pult-huayu-sr-7557-dlja-samsung-smart-tv")</f>
        <v>https://pulti.ua/tv/universalnii-pult-huayu-sr-7557-dlja-samsung-smart-tv</v>
      </c>
    </row>
    <row r="1481" spans="1:8" s="18" customFormat="1" ht="15" customHeight="1">
      <c r="A1481" s="39">
        <v>4475</v>
      </c>
      <c r="B1481" s="26" t="s">
        <v>1572</v>
      </c>
      <c r="C1481" s="13" t="s">
        <v>1245</v>
      </c>
      <c r="D1481" s="14"/>
      <c r="E1481" s="9">
        <v>93.8</v>
      </c>
      <c r="F1481" s="9">
        <f t="shared" si="45"/>
        <v>0</v>
      </c>
      <c r="G1481" s="13"/>
      <c r="H1481" s="14" t="str">
        <f>HYPERLINK("https://pulti.ua/universalnie-pulti/universalnyiy-pult-huayu-urc1566")</f>
        <v>https://pulti.ua/universalnie-pulti/universalnyiy-pult-huayu-urc1566</v>
      </c>
    </row>
    <row r="1482" spans="1:8" s="18" customFormat="1" ht="15" customHeight="1">
      <c r="A1482" s="39">
        <v>4476</v>
      </c>
      <c r="B1482" s="26" t="s">
        <v>1573</v>
      </c>
      <c r="C1482" s="13" t="s">
        <v>1245</v>
      </c>
      <c r="D1482" s="14"/>
      <c r="E1482" s="9">
        <v>95.6</v>
      </c>
      <c r="F1482" s="9">
        <f t="shared" si="45"/>
        <v>0</v>
      </c>
      <c r="G1482" s="13"/>
      <c r="H1482" s="14" t="str">
        <f>HYPERLINK("https://pulti.ua/universalnie-pulti/universalnyiy-pult-huayu-urc1568")</f>
        <v>https://pulti.ua/universalnie-pulti/universalnyiy-pult-huayu-urc1568</v>
      </c>
    </row>
    <row r="1483" spans="1:8" s="18" customFormat="1" ht="15" customHeight="1">
      <c r="A1483" s="39">
        <v>4780</v>
      </c>
      <c r="B1483" s="26" t="s">
        <v>1247</v>
      </c>
      <c r="C1483" s="13" t="s">
        <v>1245</v>
      </c>
      <c r="D1483" s="14"/>
      <c r="E1483" s="9">
        <v>97.5</v>
      </c>
      <c r="F1483" s="9">
        <f t="shared" si="45"/>
        <v>0</v>
      </c>
      <c r="G1483" s="13"/>
      <c r="H1483" s="14" t="str">
        <f>HYPERLINK("https://pulti.ua/universalnie-i-programmiruemie-pulti/universalnie-pulty/universalnyiy-pult-huayu-urc6500-8-in-1")</f>
        <v>https://pulti.ua/universalnie-i-programmiruemie-pulti/universalnie-pulty/universalnyiy-pult-huayu-urc6500-8-in-1</v>
      </c>
    </row>
    <row r="1484" spans="1:8" s="18" customFormat="1" ht="15" customHeight="1">
      <c r="A1484" s="39">
        <v>4609</v>
      </c>
      <c r="B1484" s="26" t="s">
        <v>1574</v>
      </c>
      <c r="C1484" s="13" t="s">
        <v>909</v>
      </c>
      <c r="D1484" s="14"/>
      <c r="E1484" s="9">
        <v>67.5</v>
      </c>
      <c r="F1484" s="9">
        <f t="shared" si="45"/>
        <v>0</v>
      </c>
      <c r="G1484" s="13"/>
      <c r="H1484" s="14" t="str">
        <f>HYPERLINK("https://pulti.ua/dvb-t2-resivery/universalnyj-pult-huayu-dlya-dvb-t2-ver-2019")</f>
        <v>https://pulti.ua/dvb-t2-resivery/universalnyj-pult-huayu-dlya-dvb-t2-ver-2019</v>
      </c>
    </row>
    <row r="1485" spans="1:8" s="18" customFormat="1" ht="15" customHeight="1">
      <c r="A1485" s="39">
        <v>4126</v>
      </c>
      <c r="B1485" s="26" t="s">
        <v>1575</v>
      </c>
      <c r="C1485" s="13" t="s">
        <v>1245</v>
      </c>
      <c r="D1485" s="14"/>
      <c r="E1485" s="9">
        <v>88.1</v>
      </c>
      <c r="F1485" s="9">
        <f t="shared" si="45"/>
        <v>0</v>
      </c>
      <c r="G1485" s="13"/>
      <c r="H1485" s="14" t="str">
        <f>HYPERLINK("https://pulti.ua/universalnie-pulti/universalnyiy-pult-huayu-rm-d1312")</f>
        <v>https://pulti.ua/universalnie-pulti/universalnyiy-pult-huayu-rm-d1312</v>
      </c>
    </row>
    <row r="1486" spans="1:8" s="18" customFormat="1" ht="15" customHeight="1">
      <c r="A1486" s="39">
        <v>3800</v>
      </c>
      <c r="B1486" s="26" t="s">
        <v>1576</v>
      </c>
      <c r="C1486" s="13" t="s">
        <v>909</v>
      </c>
      <c r="D1486" s="14"/>
      <c r="E1486" s="9">
        <v>75</v>
      </c>
      <c r="F1486" s="9">
        <f t="shared" si="45"/>
        <v>0</v>
      </c>
      <c r="G1486" s="13"/>
      <c r="H1486" s="14" t="str">
        <f>HYPERLINK("https://pulti.ua/universalnie-pulti/pult-universalnii-dlja-dvb-t2-tyunerov-huayu-rm-d1155plus-dvb-t2plustv")</f>
        <v>https://pulti.ua/universalnie-pulti/pult-universalnii-dlja-dvb-t2-tyunerov-huayu-rm-d1155plus-dvb-t2plustv</v>
      </c>
    </row>
    <row r="1487" spans="1:8" s="18" customFormat="1" ht="15" customHeight="1">
      <c r="A1487" s="39">
        <v>3798</v>
      </c>
      <c r="B1487" s="26" t="s">
        <v>1577</v>
      </c>
      <c r="C1487" s="13" t="s">
        <v>22</v>
      </c>
      <c r="D1487" s="14"/>
      <c r="E1487" s="9">
        <v>99.4</v>
      </c>
      <c r="F1487" s="9">
        <f t="shared" si="45"/>
        <v>0</v>
      </c>
      <c r="G1487" s="13"/>
      <c r="H1487" s="14" t="str">
        <f>HYPERLINK("https://pulti.ua/universalnie-pulti/pult-dlja-polar-rm-l1153-universalnii-huayu")</f>
        <v>https://pulti.ua/universalnie-pulti/pult-dlja-polar-rm-l1153-universalnii-huayu</v>
      </c>
    </row>
    <row r="1488" spans="1:8" s="18" customFormat="1" ht="15" customHeight="1">
      <c r="A1488" s="39">
        <v>3642</v>
      </c>
      <c r="B1488" s="26" t="s">
        <v>1578</v>
      </c>
      <c r="C1488" s="13" t="s">
        <v>909</v>
      </c>
      <c r="D1488" s="14"/>
      <c r="E1488" s="9">
        <v>70.1</v>
      </c>
      <c r="F1488" s="9">
        <f t="shared" si="45"/>
        <v>0</v>
      </c>
      <c r="G1488" s="13"/>
      <c r="H1488" s="14" t="str">
        <f>HYPERLINK("https://pulti.ua/universalnie-pulti/pult-universalnii-dlja-efirnih-dvb-t2-tyunerov-huayu-hrm1157")</f>
        <v>https://pulti.ua/universalnie-pulti/pult-universalnii-dlja-efirnih-dvb-t2-tyunerov-huayu-hrm1157</v>
      </c>
    </row>
    <row r="1489" spans="1:8" s="18" customFormat="1" ht="15" customHeight="1">
      <c r="A1489" s="39">
        <v>1030</v>
      </c>
      <c r="B1489" s="26" t="s">
        <v>1579</v>
      </c>
      <c r="C1489" s="13" t="s">
        <v>11</v>
      </c>
      <c r="D1489" s="14"/>
      <c r="E1489" s="9">
        <v>67.5</v>
      </c>
      <c r="F1489" s="9">
        <f t="shared" si="45"/>
        <v>0</v>
      </c>
      <c r="G1489" s="13"/>
      <c r="H1489" s="14" t="str">
        <f>HYPERLINK("https://pulti.ua/universalnie-pulti/pult-dlja-akira-rm-577b-universalnii-huayu")</f>
        <v>https://pulti.ua/universalnie-pulti/pult-dlja-akira-rm-577b-universalnii-huayu</v>
      </c>
    </row>
    <row r="1490" spans="1:8" s="18" customFormat="1" ht="15" customHeight="1">
      <c r="A1490" s="39">
        <v>2169</v>
      </c>
      <c r="B1490" s="26" t="s">
        <v>1580</v>
      </c>
      <c r="C1490" s="13" t="s">
        <v>1086</v>
      </c>
      <c r="D1490" s="14"/>
      <c r="E1490" s="9">
        <v>52.5</v>
      </c>
      <c r="F1490" s="9">
        <f t="shared" si="45"/>
        <v>0</v>
      </c>
      <c r="G1490" s="13"/>
      <c r="H1490" s="14" t="str">
        <f>HYPERLINK("https://pulti.ua/universalnie-pulti/pult-dlja-bbk-rm-d711-universalnii-huayu-3-koda")</f>
        <v>https://pulti.ua/universalnie-pulti/pult-dlja-bbk-rm-d711-universalnii-huayu-3-koda</v>
      </c>
    </row>
    <row r="1491" spans="1:8" s="18" customFormat="1" ht="15" customHeight="1">
      <c r="A1491" s="39">
        <v>4885</v>
      </c>
      <c r="B1491" s="26" t="s">
        <v>1581</v>
      </c>
      <c r="C1491" s="13" t="s">
        <v>14</v>
      </c>
      <c r="D1491" s="15" t="s">
        <v>1582</v>
      </c>
      <c r="E1491" s="9"/>
      <c r="F1491" s="9"/>
      <c r="G1491" s="13"/>
      <c r="H1491" s="14"/>
    </row>
    <row r="1492" spans="1:8" s="18" customFormat="1" ht="15" customHeight="1">
      <c r="A1492" s="39">
        <v>3474</v>
      </c>
      <c r="B1492" s="26" t="s">
        <v>1583</v>
      </c>
      <c r="C1492" s="13" t="s">
        <v>11</v>
      </c>
      <c r="D1492" s="14"/>
      <c r="E1492" s="9">
        <v>56.3</v>
      </c>
      <c r="F1492" s="9">
        <f aca="true" t="shared" si="46" ref="F1492:F1506">D1492*E1492</f>
        <v>0</v>
      </c>
      <c r="G1492" s="13"/>
      <c r="H1492" s="14" t="str">
        <f>HYPERLINK("https://pulti.ua/universalnie-pulti/pult-dlja-huayu-rm-164nplus-universalnii-dlja-china-tv")</f>
        <v>https://pulti.ua/universalnie-pulti/pult-dlja-huayu-rm-164nplus-universalnii-dlja-china-tv</v>
      </c>
    </row>
    <row r="1493" spans="1:8" s="18" customFormat="1" ht="15" customHeight="1">
      <c r="A1493" s="39">
        <v>3477</v>
      </c>
      <c r="B1493" s="26" t="s">
        <v>1584</v>
      </c>
      <c r="C1493" s="13" t="s">
        <v>11</v>
      </c>
      <c r="D1493" s="14"/>
      <c r="E1493" s="9">
        <v>56.3</v>
      </c>
      <c r="F1493" s="9">
        <f t="shared" si="46"/>
        <v>0</v>
      </c>
      <c r="G1493" s="13"/>
      <c r="H1493" s="14" t="str">
        <f>HYPERLINK("https://pulti.ua/universalnie-pulti/pult-dlja-huayu-rm-840n-universalnii-dlja-china-tv")</f>
        <v>https://pulti.ua/universalnie-pulti/pult-dlja-huayu-rm-840n-universalnii-dlja-china-tv</v>
      </c>
    </row>
    <row r="1494" spans="1:8" s="18" customFormat="1" ht="15" customHeight="1">
      <c r="A1494" s="39">
        <v>2686</v>
      </c>
      <c r="B1494" s="26" t="s">
        <v>1585</v>
      </c>
      <c r="C1494" s="13" t="s">
        <v>11</v>
      </c>
      <c r="D1494" s="14"/>
      <c r="E1494" s="9">
        <v>60</v>
      </c>
      <c r="F1494" s="9">
        <f t="shared" si="46"/>
        <v>0</v>
      </c>
      <c r="G1494" s="13"/>
      <c r="H1494" s="14" t="str">
        <f>HYPERLINK("https://pulti.ua/universalnie-pulti/pult-dlja-huayu-rm-908-universalnii-dlja-china-tv-na-msh-6-kodov")</f>
        <v>https://pulti.ua/universalnie-pulti/pult-dlja-huayu-rm-908-universalnii-dlja-china-tv-na-msh-6-kodov</v>
      </c>
    </row>
    <row r="1495" spans="1:8" s="18" customFormat="1" ht="15" customHeight="1">
      <c r="A1495" s="39">
        <v>3595</v>
      </c>
      <c r="B1495" s="26" t="s">
        <v>1586</v>
      </c>
      <c r="C1495" s="13" t="s">
        <v>11</v>
      </c>
      <c r="D1495" s="14"/>
      <c r="E1495" s="9">
        <v>60</v>
      </c>
      <c r="F1495" s="9">
        <f t="shared" si="46"/>
        <v>0</v>
      </c>
      <c r="G1495" s="13"/>
      <c r="H1495" s="14" t="str">
        <f>HYPERLINK("https://pulti.ua/tv/pult-dlja-huayu-rm-909-universalnii-dlja-china-tv")</f>
        <v>https://pulti.ua/tv/pult-dlja-huayu-rm-909-universalnii-dlja-china-tv</v>
      </c>
    </row>
    <row r="1496" spans="1:8" s="18" customFormat="1" ht="15" customHeight="1">
      <c r="A1496" s="39">
        <v>1151</v>
      </c>
      <c r="B1496" s="26" t="s">
        <v>1587</v>
      </c>
      <c r="C1496" s="13" t="s">
        <v>11</v>
      </c>
      <c r="D1496" s="14"/>
      <c r="E1496" s="9">
        <v>58.1</v>
      </c>
      <c r="F1496" s="9">
        <f t="shared" si="46"/>
        <v>0</v>
      </c>
      <c r="G1496" s="13"/>
      <c r="H1496" s="14" t="str">
        <f>HYPERLINK("https://pulti.ua/universalnie-pulti/pult-dlja-daewoo-rm-531dc-universalnii-huayu-2-koda")</f>
        <v>https://pulti.ua/universalnie-pulti/pult-dlja-daewoo-rm-531dc-universalnii-huayu-2-koda</v>
      </c>
    </row>
    <row r="1497" spans="1:8" s="18" customFormat="1" ht="15" customHeight="1">
      <c r="A1497" s="39">
        <v>1152</v>
      </c>
      <c r="B1497" s="26" t="s">
        <v>1588</v>
      </c>
      <c r="C1497" s="13" t="s">
        <v>11</v>
      </c>
      <c r="D1497" s="14"/>
      <c r="E1497" s="9">
        <v>58.1</v>
      </c>
      <c r="F1497" s="9">
        <f t="shared" si="46"/>
        <v>0</v>
      </c>
      <c r="G1497" s="13"/>
      <c r="H1497" s="14" t="str">
        <f>HYPERLINK("https://pulti.ua/universalnie-pulti/pult-dlja-daewoo-rm-675dc-universalnii-huayu-2-koda")</f>
        <v>https://pulti.ua/universalnie-pulti/pult-dlja-daewoo-rm-675dc-universalnii-huayu-2-koda</v>
      </c>
    </row>
    <row r="1498" spans="1:8" s="18" customFormat="1" ht="15" customHeight="1">
      <c r="A1498" s="39">
        <v>1153</v>
      </c>
      <c r="B1498" s="26" t="s">
        <v>1589</v>
      </c>
      <c r="C1498" s="13" t="s">
        <v>22</v>
      </c>
      <c r="D1498" s="14"/>
      <c r="E1498" s="9">
        <v>108.8</v>
      </c>
      <c r="F1498" s="9">
        <f t="shared" si="46"/>
        <v>0</v>
      </c>
      <c r="G1498" s="13"/>
      <c r="H1498" s="14" t="str">
        <f>HYPERLINK("https://pulti.ua/universalnie-pulti/pult-dlja-daewoo-rm-827dc-universalnii-huayu-2-koda")</f>
        <v>https://pulti.ua/universalnie-pulti/pult-dlja-daewoo-rm-827dc-universalnii-huayu-2-koda</v>
      </c>
    </row>
    <row r="1499" spans="1:8" s="18" customFormat="1" ht="15" customHeight="1">
      <c r="A1499" s="39">
        <v>4471</v>
      </c>
      <c r="B1499" s="26" t="s">
        <v>1590</v>
      </c>
      <c r="C1499" s="13" t="s">
        <v>14</v>
      </c>
      <c r="D1499" s="14"/>
      <c r="E1499" s="9">
        <v>82.5</v>
      </c>
      <c r="F1499" s="9">
        <f t="shared" si="46"/>
        <v>0</v>
      </c>
      <c r="G1499" s="13"/>
      <c r="H1499" s="14" t="str">
        <f>HYPERLINK("https://pulti.ua/universalnie-pulti/universalnyiy-pult-huayu-dlya-daewoo-rm-l1553")</f>
        <v>https://pulti.ua/universalnie-pulti/universalnyiy-pult-huayu-dlya-daewoo-rm-l1553</v>
      </c>
    </row>
    <row r="1500" spans="1:8" s="18" customFormat="1" ht="15" customHeight="1">
      <c r="A1500" s="39">
        <v>2042</v>
      </c>
      <c r="B1500" s="26" t="s">
        <v>1591</v>
      </c>
      <c r="C1500" s="13" t="s">
        <v>11</v>
      </c>
      <c r="D1500" s="14"/>
      <c r="E1500" s="9">
        <v>67.5</v>
      </c>
      <c r="F1500" s="9">
        <f t="shared" si="46"/>
        <v>0</v>
      </c>
      <c r="G1500" s="13"/>
      <c r="H1500" s="14" t="str">
        <f>HYPERLINK("https://pulti.ua/universalnie-pulti/pult-dlja-elenberg-rm-643f-universalnii-huayu-8-kodov")</f>
        <v>https://pulti.ua/universalnie-pulti/pult-dlja-elenberg-rm-643f-universalnii-huayu-8-kodov</v>
      </c>
    </row>
    <row r="1501" spans="1:8" s="18" customFormat="1" ht="15" customHeight="1">
      <c r="A1501" s="39">
        <v>1172</v>
      </c>
      <c r="B1501" s="26" t="s">
        <v>1592</v>
      </c>
      <c r="C1501" s="13" t="s">
        <v>11</v>
      </c>
      <c r="D1501" s="14"/>
      <c r="E1501" s="9">
        <v>101.3</v>
      </c>
      <c r="F1501" s="9">
        <f t="shared" si="46"/>
        <v>0</v>
      </c>
      <c r="G1501" s="13"/>
      <c r="H1501" s="14" t="str">
        <f>HYPERLINK("https://pulti.ua/universalnie-pulti/pult-dlja-erisson-rm-317n-universalnii-huayu-2-koda")</f>
        <v>https://pulti.ua/universalnie-pulti/pult-dlja-erisson-rm-317n-universalnii-huayu-2-koda</v>
      </c>
    </row>
    <row r="1502" spans="1:8" s="18" customFormat="1" ht="15" customHeight="1">
      <c r="A1502" s="39">
        <v>4408</v>
      </c>
      <c r="B1502" s="26" t="s">
        <v>1593</v>
      </c>
      <c r="C1502" s="13" t="s">
        <v>11</v>
      </c>
      <c r="D1502" s="14"/>
      <c r="E1502" s="9">
        <v>78.8</v>
      </c>
      <c r="F1502" s="9">
        <f t="shared" si="46"/>
        <v>0</v>
      </c>
      <c r="G1502" s="13"/>
      <c r="H1502" s="14" t="str">
        <f>HYPERLINK("https://pulti.ua/tv/universalnyiy-pult-huayu-dlya-grundig-rm-l1383")</f>
        <v>https://pulti.ua/tv/universalnyiy-pult-huayu-dlya-grundig-rm-l1383</v>
      </c>
    </row>
    <row r="1503" spans="1:8" s="18" customFormat="1" ht="15" customHeight="1">
      <c r="A1503" s="39">
        <v>4269</v>
      </c>
      <c r="B1503" s="26" t="s">
        <v>1594</v>
      </c>
      <c r="C1503" s="13" t="s">
        <v>14</v>
      </c>
      <c r="D1503" s="14"/>
      <c r="E1503" s="9">
        <v>78.8</v>
      </c>
      <c r="F1503" s="9">
        <f t="shared" si="46"/>
        <v>0</v>
      </c>
      <c r="G1503" s="13"/>
      <c r="H1503" s="14" t="str">
        <f>HYPERLINK("https://pulti.ua/universalnie-pulti/universalnyiy-pult-huayu-dlya-haier-rm-l1313")</f>
        <v>https://pulti.ua/universalnie-pulti/universalnyiy-pult-huayu-dlya-haier-rm-l1313</v>
      </c>
    </row>
    <row r="1504" spans="1:8" s="18" customFormat="1" ht="15" customHeight="1">
      <c r="A1504" s="39">
        <v>4130</v>
      </c>
      <c r="B1504" s="26" t="s">
        <v>1595</v>
      </c>
      <c r="C1504" s="13" t="s">
        <v>1245</v>
      </c>
      <c r="D1504" s="14"/>
      <c r="E1504" s="9">
        <v>84.4</v>
      </c>
      <c r="F1504" s="9">
        <f t="shared" si="46"/>
        <v>0</v>
      </c>
      <c r="G1504" s="13"/>
      <c r="H1504" s="14" t="str">
        <f>HYPERLINK("https://pulti.ua/tv/universalnyiy-pult-huayu-dlya-hisense-rm-l1335")</f>
        <v>https://pulti.ua/tv/universalnyiy-pult-huayu-dlya-hisense-rm-l1335</v>
      </c>
    </row>
    <row r="1505" spans="1:8" s="18" customFormat="1" ht="15" customHeight="1">
      <c r="A1505" s="39">
        <v>4583</v>
      </c>
      <c r="B1505" s="26" t="s">
        <v>1596</v>
      </c>
      <c r="C1505" s="13" t="s">
        <v>1245</v>
      </c>
      <c r="D1505" s="14"/>
      <c r="E1505" s="9">
        <v>142.5</v>
      </c>
      <c r="F1505" s="9">
        <f t="shared" si="46"/>
        <v>0</v>
      </c>
      <c r="G1505" s="13"/>
      <c r="H1505" s="14" t="str">
        <f>HYPERLINK("https://pulti.ua/universalnie-i-programmiruemie-pulti/universalnie-pulti/universalnyj-pult-huayu-dlya-hisense-rm-l1335eu")</f>
        <v>https://pulti.ua/universalnie-i-programmiruemie-pulti/universalnie-pulti/universalnyj-pult-huayu-dlya-hisense-rm-l1335eu</v>
      </c>
    </row>
    <row r="1506" spans="1:8" s="18" customFormat="1" ht="15" customHeight="1">
      <c r="A1506" s="39">
        <v>4575</v>
      </c>
      <c r="B1506" s="26" t="s">
        <v>1597</v>
      </c>
      <c r="C1506" s="13" t="s">
        <v>14</v>
      </c>
      <c r="D1506" s="14"/>
      <c r="E1506" s="9">
        <v>91.9</v>
      </c>
      <c r="F1506" s="9">
        <f t="shared" si="46"/>
        <v>0</v>
      </c>
      <c r="G1506" s="13"/>
      <c r="H1506" s="14" t="str">
        <f>HYPERLINK("https://pulti.ua/tv/universalnyj-pult-huayu-dlya-hisense-rm-l1365")</f>
        <v>https://pulti.ua/tv/universalnyj-pult-huayu-dlya-hisense-rm-l1365</v>
      </c>
    </row>
    <row r="1507" spans="1:8" s="18" customFormat="1" ht="15" customHeight="1">
      <c r="A1507" s="39">
        <v>4473</v>
      </c>
      <c r="B1507" s="26" t="s">
        <v>1598</v>
      </c>
      <c r="C1507" s="13" t="s">
        <v>14</v>
      </c>
      <c r="D1507" s="15" t="s">
        <v>1599</v>
      </c>
      <c r="E1507" s="9">
        <v>99.4</v>
      </c>
      <c r="F1507" s="9"/>
      <c r="G1507" s="13"/>
      <c r="H1507" s="14" t="str">
        <f>HYPERLINK("https://pulti.ua/universalnie-pulti/universalnyiy-pult-huayu-dlya-hisense-rm-l1575")</f>
        <v>https://pulti.ua/universalnie-pulti/universalnyiy-pult-huayu-dlya-hisense-rm-l1575</v>
      </c>
    </row>
    <row r="1508" spans="1:8" s="18" customFormat="1" ht="15" customHeight="1">
      <c r="A1508" s="39">
        <v>4795</v>
      </c>
      <c r="B1508" s="26" t="s">
        <v>1248</v>
      </c>
      <c r="C1508" s="13" t="s">
        <v>14</v>
      </c>
      <c r="D1508" s="14"/>
      <c r="E1508" s="9">
        <v>86.3</v>
      </c>
      <c r="F1508" s="9">
        <f aca="true" t="shared" si="47" ref="F1508:F1530">D1508*E1508</f>
        <v>0</v>
      </c>
      <c r="G1508" s="13"/>
      <c r="H1508" s="14" t="str">
        <f>HYPERLINK("https://pulti.ua/tv/universalnyiy-pult-huayu-dlya-hisense-rm-l1665")</f>
        <v>https://pulti.ua/tv/universalnyiy-pult-huayu-dlya-hisense-rm-l1665</v>
      </c>
    </row>
    <row r="1509" spans="1:8" s="18" customFormat="1" ht="15" customHeight="1">
      <c r="A1509" s="39">
        <v>1230</v>
      </c>
      <c r="B1509" s="26" t="s">
        <v>1600</v>
      </c>
      <c r="C1509" s="13" t="s">
        <v>11</v>
      </c>
      <c r="D1509" s="14"/>
      <c r="E1509" s="9">
        <v>75</v>
      </c>
      <c r="F1509" s="9">
        <f t="shared" si="47"/>
        <v>0</v>
      </c>
      <c r="G1509" s="13"/>
      <c r="H1509" s="14" t="str">
        <f>HYPERLINK("https://pulti.ua/universalnie-pulti/pult-dlja-hitachi-rm-300b-universalnii-huayu")</f>
        <v>https://pulti.ua/universalnie-pulti/pult-dlja-hitachi-rm-300b-universalnii-huayu</v>
      </c>
    </row>
    <row r="1510" spans="1:8" s="18" customFormat="1" ht="15" customHeight="1">
      <c r="A1510" s="39">
        <v>1231</v>
      </c>
      <c r="B1510" s="26" t="s">
        <v>1601</v>
      </c>
      <c r="C1510" s="13" t="s">
        <v>11</v>
      </c>
      <c r="D1510" s="14"/>
      <c r="E1510" s="9">
        <v>45</v>
      </c>
      <c r="F1510" s="9">
        <f t="shared" si="47"/>
        <v>0</v>
      </c>
      <c r="G1510" s="13"/>
      <c r="H1510" s="14" t="str">
        <f>HYPERLINK("https://pulti.ua/universalnie-pulti/pult-dlja-hitachi-rm-791b-universalnii-huayu")</f>
        <v>https://pulti.ua/universalnie-pulti/pult-dlja-hitachi-rm-791b-universalnii-huayu</v>
      </c>
    </row>
    <row r="1511" spans="1:8" s="18" customFormat="1" ht="15" customHeight="1">
      <c r="A1511" s="39">
        <v>1232</v>
      </c>
      <c r="B1511" s="26" t="s">
        <v>1602</v>
      </c>
      <c r="C1511" s="13" t="s">
        <v>11</v>
      </c>
      <c r="D1511" s="14"/>
      <c r="E1511" s="9">
        <v>116.3</v>
      </c>
      <c r="F1511" s="9">
        <f t="shared" si="47"/>
        <v>0</v>
      </c>
      <c r="G1511" s="13"/>
      <c r="H1511" s="14" t="str">
        <f>HYPERLINK("https://pulti.ua/universalnie-pulti/pult-dlja-hitachi-rm-d626-universalnii-huayu")</f>
        <v>https://pulti.ua/universalnie-pulti/pult-dlja-hitachi-rm-d626-universalnii-huayu</v>
      </c>
    </row>
    <row r="1512" spans="1:8" s="18" customFormat="1" ht="15" customHeight="1">
      <c r="A1512" s="39">
        <v>3717</v>
      </c>
      <c r="B1512" s="26" t="s">
        <v>1603</v>
      </c>
      <c r="C1512" s="13" t="s">
        <v>14</v>
      </c>
      <c r="D1512" s="14"/>
      <c r="E1512" s="9">
        <v>161.3</v>
      </c>
      <c r="F1512" s="9">
        <f t="shared" si="47"/>
        <v>0</v>
      </c>
      <c r="G1512" s="13"/>
      <c r="H1512" s="14" t="str">
        <f>HYPERLINK("https://pulti.ua/tv/pult-universalnii-dlja-hitachi-rm-l956-huayu")</f>
        <v>https://pulti.ua/tv/pult-universalnii-dlja-hitachi-rm-l956-huayu</v>
      </c>
    </row>
    <row r="1513" spans="1:8" s="18" customFormat="1" ht="15" customHeight="1">
      <c r="A1513" s="39">
        <v>3902</v>
      </c>
      <c r="B1513" s="26" t="s">
        <v>1604</v>
      </c>
      <c r="C1513" s="13" t="s">
        <v>11</v>
      </c>
      <c r="D1513" s="14"/>
      <c r="E1513" s="9">
        <v>67.5</v>
      </c>
      <c r="F1513" s="9">
        <f t="shared" si="47"/>
        <v>0</v>
      </c>
      <c r="G1513" s="13"/>
      <c r="H1513" s="14" t="str">
        <f>HYPERLINK("https://pulti.ua/universalnie-pulti/pult-huayu-dlja-hyundai-rc-8838plus6")</f>
        <v>https://pulti.ua/universalnie-pulti/pult-huayu-dlja-hyundai-rc-8838plus6</v>
      </c>
    </row>
    <row r="1514" spans="1:8" s="18" customFormat="1" ht="15" customHeight="1">
      <c r="A1514" s="39">
        <v>1281</v>
      </c>
      <c r="B1514" s="26" t="s">
        <v>1605</v>
      </c>
      <c r="C1514" s="13" t="s">
        <v>22</v>
      </c>
      <c r="D1514" s="14"/>
      <c r="E1514" s="9">
        <v>86.3</v>
      </c>
      <c r="F1514" s="9">
        <f t="shared" si="47"/>
        <v>0</v>
      </c>
      <c r="G1514" s="13"/>
      <c r="H1514" s="14" t="str">
        <f>HYPERLINK("https://pulti.ua/universalnie-pulti/pult-dlja-jvc-rm-s710r-universalnii-huayu")</f>
        <v>https://pulti.ua/universalnie-pulti/pult-dlja-jvc-rm-s710r-universalnii-huayu</v>
      </c>
    </row>
    <row r="1515" spans="1:8" s="18" customFormat="1" ht="15" customHeight="1">
      <c r="A1515" s="39">
        <v>1280</v>
      </c>
      <c r="B1515" s="26" t="s">
        <v>1606</v>
      </c>
      <c r="C1515" s="13" t="s">
        <v>11</v>
      </c>
      <c r="D1515" s="14"/>
      <c r="E1515" s="9">
        <v>61.1</v>
      </c>
      <c r="F1515" s="9">
        <f t="shared" si="47"/>
        <v>0</v>
      </c>
      <c r="G1515" s="13"/>
      <c r="H1515" s="14" t="str">
        <f>HYPERLINK("https://pulti.ua/universalnie-pulti/pult-dlja-jvc-rm-c530f-universalnii-huayu")</f>
        <v>https://pulti.ua/universalnie-pulti/pult-dlja-jvc-rm-c530f-universalnii-huayu</v>
      </c>
    </row>
    <row r="1516" spans="1:8" s="18" customFormat="1" ht="15" customHeight="1">
      <c r="A1516" s="39">
        <v>4607</v>
      </c>
      <c r="B1516" s="26" t="s">
        <v>1607</v>
      </c>
      <c r="C1516" s="13" t="s">
        <v>11</v>
      </c>
      <c r="D1516" s="14"/>
      <c r="E1516" s="9">
        <v>90</v>
      </c>
      <c r="F1516" s="9">
        <f t="shared" si="47"/>
        <v>0</v>
      </c>
      <c r="G1516" s="13"/>
      <c r="H1516" s="14" t="str">
        <f>HYPERLINK("https://pulti.ua/tv/universalnyj-pult-huayu-dlya-jvc-rm-l1552")</f>
        <v>https://pulti.ua/tv/universalnyj-pult-huayu-dlya-jvc-rm-l1552</v>
      </c>
    </row>
    <row r="1517" spans="1:8" s="18" customFormat="1" ht="15" customHeight="1">
      <c r="A1517" s="39">
        <v>1389</v>
      </c>
      <c r="B1517" s="26" t="s">
        <v>1608</v>
      </c>
      <c r="C1517" s="13" t="s">
        <v>11</v>
      </c>
      <c r="D1517" s="14"/>
      <c r="E1517" s="9">
        <v>73.1</v>
      </c>
      <c r="F1517" s="9">
        <f t="shared" si="47"/>
        <v>0</v>
      </c>
      <c r="G1517" s="13"/>
      <c r="H1517" s="14" t="str">
        <f>HYPERLINK("https://pulti.ua/universalnie-pulti/pult-dlja-lg-rm-158cb-universalnii-huayu-2-koda")</f>
        <v>https://pulti.ua/universalnie-pulti/pult-dlja-lg-rm-158cb-universalnii-huayu-2-koda</v>
      </c>
    </row>
    <row r="1518" spans="1:8" s="18" customFormat="1" ht="15" customHeight="1">
      <c r="A1518" s="39">
        <v>1390</v>
      </c>
      <c r="B1518" s="26" t="s">
        <v>1609</v>
      </c>
      <c r="C1518" s="13" t="s">
        <v>11</v>
      </c>
      <c r="D1518" s="14"/>
      <c r="E1518" s="9">
        <v>67.5</v>
      </c>
      <c r="F1518" s="9">
        <f t="shared" si="47"/>
        <v>0</v>
      </c>
      <c r="G1518" s="13"/>
      <c r="H1518" s="14" t="str">
        <f>HYPERLINK("https://pulti.ua/universalnie-pulti/pult-dlja-lg-rm-406cb-universalnii-huayu-2-koda")</f>
        <v>https://pulti.ua/universalnie-pulti/pult-dlja-lg-rm-406cb-universalnii-huayu-2-koda</v>
      </c>
    </row>
    <row r="1519" spans="1:8" s="18" customFormat="1" ht="15" customHeight="1">
      <c r="A1519" s="39">
        <v>1392</v>
      </c>
      <c r="B1519" s="26" t="s">
        <v>1610</v>
      </c>
      <c r="C1519" s="13" t="s">
        <v>11</v>
      </c>
      <c r="D1519" s="14"/>
      <c r="E1519" s="9">
        <v>58.1</v>
      </c>
      <c r="F1519" s="9">
        <f t="shared" si="47"/>
        <v>0</v>
      </c>
      <c r="G1519" s="13"/>
      <c r="H1519" s="14" t="str">
        <f>HYPERLINK("https://pulti.ua/universalnie-pulti/pult-dlja-lg-rm-609cbplus-universalnii-huayu-2-koda")</f>
        <v>https://pulti.ua/universalnie-pulti/pult-dlja-lg-rm-609cbplus-universalnii-huayu-2-koda</v>
      </c>
    </row>
    <row r="1520" spans="1:8" s="18" customFormat="1" ht="15" customHeight="1">
      <c r="A1520" s="39">
        <v>3729</v>
      </c>
      <c r="B1520" s="26" t="s">
        <v>1611</v>
      </c>
      <c r="C1520" s="13" t="s">
        <v>11</v>
      </c>
      <c r="D1520" s="14"/>
      <c r="E1520" s="9">
        <v>71.3</v>
      </c>
      <c r="F1520" s="9">
        <f t="shared" si="47"/>
        <v>0</v>
      </c>
      <c r="G1520" s="13"/>
      <c r="H1520" s="14" t="str">
        <f>HYPERLINK("https://pulti.ua/universalnie-pulti/pult-dlja-lg-rm-752cb-universalnii-huayu")</f>
        <v>https://pulti.ua/universalnie-pulti/pult-dlja-lg-rm-752cb-universalnii-huayu</v>
      </c>
    </row>
    <row r="1521" spans="1:8" s="18" customFormat="1" ht="15" customHeight="1">
      <c r="A1521" s="39">
        <v>2332</v>
      </c>
      <c r="B1521" s="26" t="s">
        <v>1612</v>
      </c>
      <c r="C1521" s="13" t="s">
        <v>11</v>
      </c>
      <c r="D1521" s="14"/>
      <c r="E1521" s="9">
        <v>63.8</v>
      </c>
      <c r="F1521" s="9">
        <f t="shared" si="47"/>
        <v>0</v>
      </c>
      <c r="G1521" s="13"/>
      <c r="H1521" s="14" t="str">
        <f>HYPERLINK("https://pulti.ua/universalnie-pulti/pult-dlja-lg--rm-913cb-universalnii-huayu-2-koda")</f>
        <v>https://pulti.ua/universalnie-pulti/pult-dlja-lg--rm-913cb-universalnii-huayu-2-koda</v>
      </c>
    </row>
    <row r="1522" spans="1:8" s="18" customFormat="1" ht="15" customHeight="1">
      <c r="A1522" s="39">
        <v>3719</v>
      </c>
      <c r="B1522" s="26" t="s">
        <v>1613</v>
      </c>
      <c r="C1522" s="13" t="s">
        <v>1146</v>
      </c>
      <c r="D1522" s="14"/>
      <c r="E1522" s="9">
        <v>161.3</v>
      </c>
      <c r="F1522" s="9">
        <f t="shared" si="47"/>
        <v>0</v>
      </c>
      <c r="G1522" s="13"/>
      <c r="H1522" s="14" t="str">
        <f>HYPERLINK("https://pulti.ua/universalnie-pulti/pult-universalnii-dlja-lg-rm-b1167-blu-ray-huayu")</f>
        <v>https://pulti.ua/universalnie-pulti/pult-universalnii-dlja-lg-rm-b1167-blu-ray-huayu</v>
      </c>
    </row>
    <row r="1523" spans="1:8" s="18" customFormat="1" ht="15" customHeight="1">
      <c r="A1523" s="39">
        <v>3057</v>
      </c>
      <c r="B1523" s="26" t="s">
        <v>1614</v>
      </c>
      <c r="C1523" s="13" t="s">
        <v>1146</v>
      </c>
      <c r="D1523" s="14"/>
      <c r="E1523" s="9">
        <v>337.5</v>
      </c>
      <c r="F1523" s="9">
        <f t="shared" si="47"/>
        <v>0</v>
      </c>
      <c r="G1523" s="13"/>
      <c r="H1523" s="14" t="str">
        <f>HYPERLINK("https://pulti.ua/universalnie-pulti/pult-dlja-lg-rm-b938--universalnii-huayu")</f>
        <v>https://pulti.ua/universalnie-pulti/pult-dlja-lg-rm-b938--universalnii-huayu</v>
      </c>
    </row>
    <row r="1524" spans="1:8" s="18" customFormat="1" ht="15" customHeight="1">
      <c r="A1524" s="39">
        <v>4120</v>
      </c>
      <c r="B1524" s="26" t="s">
        <v>1615</v>
      </c>
      <c r="C1524" s="13" t="s">
        <v>1086</v>
      </c>
      <c r="D1524" s="14"/>
      <c r="E1524" s="9">
        <v>150</v>
      </c>
      <c r="F1524" s="9">
        <f t="shared" si="47"/>
        <v>0</v>
      </c>
      <c r="G1524" s="13"/>
      <c r="H1524" s="14" t="str">
        <f>HYPERLINK("https://pulti.ua/dvd-blueray/universalnyiy-pult-huayu-dlya-lg-rm-d1296")</f>
        <v>https://pulti.ua/dvd-blueray/universalnyiy-pult-huayu-dlya-lg-rm-d1296</v>
      </c>
    </row>
    <row r="1525" spans="1:8" s="18" customFormat="1" ht="15" customHeight="1">
      <c r="A1525" s="39">
        <v>1393</v>
      </c>
      <c r="B1525" s="26" t="s">
        <v>1616</v>
      </c>
      <c r="C1525" s="13" t="s">
        <v>11</v>
      </c>
      <c r="D1525" s="14"/>
      <c r="E1525" s="9">
        <v>56.3</v>
      </c>
      <c r="F1525" s="9">
        <f t="shared" si="47"/>
        <v>0</v>
      </c>
      <c r="G1525" s="13"/>
      <c r="H1525" s="14" t="str">
        <f>HYPERLINK("https://pulti.ua/universalnie-i-programmiruemie-pulti/universalnie-pulty/pult-dlja-lg-rm-d656-universalnii-huayu")</f>
        <v>https://pulti.ua/universalnie-i-programmiruemie-pulti/universalnie-pulty/pult-dlja-lg-rm-d656-universalnii-huayu</v>
      </c>
    </row>
    <row r="1526" spans="1:8" s="18" customFormat="1" ht="15" customHeight="1">
      <c r="A1526" s="39">
        <v>1394</v>
      </c>
      <c r="B1526" s="26" t="s">
        <v>1617</v>
      </c>
      <c r="C1526" s="13" t="s">
        <v>11</v>
      </c>
      <c r="D1526" s="14"/>
      <c r="E1526" s="9">
        <v>93.8</v>
      </c>
      <c r="F1526" s="9">
        <f t="shared" si="47"/>
        <v>0</v>
      </c>
      <c r="G1526" s="13"/>
      <c r="H1526" s="14" t="str">
        <f>HYPERLINK("https://pulti.ua/universalnie-pulti/pult-dlja-lg-rm-d657-universalnii-huayu")</f>
        <v>https://pulti.ua/universalnie-pulti/pult-dlja-lg-rm-d657-universalnii-huayu</v>
      </c>
    </row>
    <row r="1527" spans="1:8" s="18" customFormat="1" ht="15" customHeight="1">
      <c r="A1527" s="39">
        <v>1396</v>
      </c>
      <c r="B1527" s="26" t="s">
        <v>1618</v>
      </c>
      <c r="C1527" s="13" t="s">
        <v>11</v>
      </c>
      <c r="D1527" s="14"/>
      <c r="E1527" s="9">
        <v>101.3</v>
      </c>
      <c r="F1527" s="9">
        <f t="shared" si="47"/>
        <v>0</v>
      </c>
      <c r="G1527" s="13"/>
      <c r="H1527" s="14" t="str">
        <f>HYPERLINK("https://pulti.ua/universalnie-pulti/pult-dlja-lg-rm-d757-universalnii-huayu-2-koda")</f>
        <v>https://pulti.ua/universalnie-pulti/pult-dlja-lg-rm-d757-universalnii-huayu-2-koda</v>
      </c>
    </row>
    <row r="1528" spans="1:8" s="18" customFormat="1" ht="15" customHeight="1">
      <c r="A1528" s="39">
        <v>3689</v>
      </c>
      <c r="B1528" s="26" t="s">
        <v>1619</v>
      </c>
      <c r="C1528" s="13" t="s">
        <v>14</v>
      </c>
      <c r="D1528" s="14"/>
      <c r="E1528" s="9">
        <v>65.6</v>
      </c>
      <c r="F1528" s="9">
        <f t="shared" si="47"/>
        <v>0</v>
      </c>
      <c r="G1528" s="13"/>
      <c r="H1528" s="14" t="str">
        <f>HYPERLINK("https://pulti.ua/tv/pult-dlja-lg-rm-l1162-universalnii-huayu")</f>
        <v>https://pulti.ua/tv/pult-dlja-lg-rm-l1162-universalnii-huayu</v>
      </c>
    </row>
    <row r="1529" spans="1:8" s="18" customFormat="1" ht="15" customHeight="1">
      <c r="A1529" s="39">
        <v>4769</v>
      </c>
      <c r="B1529" s="26" t="s">
        <v>1620</v>
      </c>
      <c r="C1529" s="13" t="s">
        <v>14</v>
      </c>
      <c r="D1529" s="14"/>
      <c r="E1529" s="9">
        <v>71.3</v>
      </c>
      <c r="F1529" s="9">
        <f t="shared" si="47"/>
        <v>0</v>
      </c>
      <c r="G1529" s="13"/>
      <c r="H1529" s="14" t="str">
        <f>HYPERLINK("https://pulti.ua/tv/universalnyj-pult-huayu-dlya-lg-rm-l1162v5")</f>
        <v>https://pulti.ua/tv/universalnyj-pult-huayu-dlya-lg-rm-l1162v5</v>
      </c>
    </row>
    <row r="1530" spans="1:8" s="18" customFormat="1" ht="15" customHeight="1">
      <c r="A1530" s="39">
        <v>4128</v>
      </c>
      <c r="B1530" s="26" t="s">
        <v>1621</v>
      </c>
      <c r="C1530" s="13" t="s">
        <v>1245</v>
      </c>
      <c r="D1530" s="14"/>
      <c r="E1530" s="9">
        <v>75</v>
      </c>
      <c r="F1530" s="9">
        <f t="shared" si="47"/>
        <v>0</v>
      </c>
      <c r="G1530" s="13"/>
      <c r="H1530" s="14" t="str">
        <f>HYPERLINK("https://pulti.ua/tv/universalnyiy-pult-huayu-dlya-lg-rm-l1315")</f>
        <v>https://pulti.ua/tv/universalnyiy-pult-huayu-dlya-lg-rm-l1315</v>
      </c>
    </row>
    <row r="1531" spans="1:8" s="18" customFormat="1" ht="15" customHeight="1">
      <c r="A1531" s="39">
        <v>4576</v>
      </c>
      <c r="B1531" s="26" t="s">
        <v>1622</v>
      </c>
      <c r="C1531" s="13" t="s">
        <v>14</v>
      </c>
      <c r="D1531" s="15" t="s">
        <v>1599</v>
      </c>
      <c r="E1531" s="9">
        <v>67.5</v>
      </c>
      <c r="F1531" s="9"/>
      <c r="G1531" s="13"/>
      <c r="H1531" s="14" t="str">
        <f>HYPERLINK("https://pulti.ua/tv/universalnyj-pult-huayu-dlya-lg-rm-l1379")</f>
        <v>https://pulti.ua/tv/universalnyj-pult-huayu-dlya-lg-rm-l1379</v>
      </c>
    </row>
    <row r="1532" spans="1:8" s="18" customFormat="1" ht="15" customHeight="1">
      <c r="A1532" s="39">
        <v>1397</v>
      </c>
      <c r="B1532" s="26" t="s">
        <v>1623</v>
      </c>
      <c r="C1532" s="13" t="s">
        <v>11</v>
      </c>
      <c r="D1532" s="15" t="s">
        <v>1314</v>
      </c>
      <c r="E1532" s="9">
        <v>75</v>
      </c>
      <c r="F1532" s="9"/>
      <c r="G1532" s="13"/>
      <c r="H1532" s="14" t="str">
        <f>HYPERLINK("https://pulti.ua/universalnie-pulti/pult-dlja-lg-rm-l810-universalnii-huayu-2-koda")</f>
        <v>https://pulti.ua/universalnie-pulti/pult-dlja-lg-rm-l810-universalnii-huayu-2-koda</v>
      </c>
    </row>
    <row r="1533" spans="1:8" s="18" customFormat="1" ht="15" customHeight="1">
      <c r="A1533" s="39">
        <v>1398</v>
      </c>
      <c r="B1533" s="26" t="s">
        <v>1624</v>
      </c>
      <c r="C1533" s="13" t="s">
        <v>22</v>
      </c>
      <c r="D1533" s="14"/>
      <c r="E1533" s="9">
        <v>75</v>
      </c>
      <c r="F1533" s="9">
        <f>D1533*E1533</f>
        <v>0</v>
      </c>
      <c r="G1533" s="13"/>
      <c r="H1533" s="14" t="str">
        <f>HYPERLINK("https://pulti.ua/universalnie-pulti/pult-dlja-lg-rm-l859-universalnii-huayu-2-koda")</f>
        <v>https://pulti.ua/universalnie-pulti/pult-dlja-lg-rm-l859-universalnii-huayu-2-koda</v>
      </c>
    </row>
    <row r="1534" spans="1:8" s="18" customFormat="1" ht="15" customHeight="1">
      <c r="A1534" s="39">
        <v>1399</v>
      </c>
      <c r="B1534" s="26" t="s">
        <v>1625</v>
      </c>
      <c r="C1534" s="13" t="s">
        <v>14</v>
      </c>
      <c r="D1534" s="14"/>
      <c r="E1534" s="9">
        <v>80.6</v>
      </c>
      <c r="F1534" s="9">
        <f>D1534*E1534</f>
        <v>0</v>
      </c>
      <c r="G1534" s="13"/>
      <c r="H1534" s="14" t="str">
        <f>HYPERLINK("https://pulti.ua/universalnie-pulti/pult-dlja-lg-rm-l915-universalnii-huayu-2-koda")</f>
        <v>https://pulti.ua/universalnie-pulti/pult-dlja-lg-rm-l915-universalnii-huayu-2-koda</v>
      </c>
    </row>
    <row r="1535" spans="1:8" s="18" customFormat="1" ht="15" customHeight="1">
      <c r="A1535" s="39">
        <v>1400</v>
      </c>
      <c r="B1535" s="26" t="s">
        <v>1626</v>
      </c>
      <c r="C1535" s="13" t="s">
        <v>14</v>
      </c>
      <c r="D1535" s="14"/>
      <c r="E1535" s="9">
        <v>95.6</v>
      </c>
      <c r="F1535" s="9">
        <f>D1535*E1535</f>
        <v>0</v>
      </c>
      <c r="G1535" s="13"/>
      <c r="H1535" s="14" t="str">
        <f>HYPERLINK("https://pulti.ua/universalnie-pulti/pult-dlja-lg-rm-l930-universalnii--3d-huayu-2-koda")</f>
        <v>https://pulti.ua/universalnie-pulti/pult-dlja-lg-rm-l930-universalnii--3d-huayu-2-koda</v>
      </c>
    </row>
    <row r="1536" spans="1:8" s="18" customFormat="1" ht="15" customHeight="1">
      <c r="A1536" s="39">
        <v>3091</v>
      </c>
      <c r="B1536" s="26" t="s">
        <v>1627</v>
      </c>
      <c r="C1536" s="13" t="s">
        <v>14</v>
      </c>
      <c r="D1536" s="15" t="s">
        <v>1599</v>
      </c>
      <c r="E1536" s="9">
        <v>101.3</v>
      </c>
      <c r="F1536" s="9"/>
      <c r="G1536" s="13"/>
      <c r="H1536" s="14" t="str">
        <f>HYPERLINK("https://pulti.ua/universalnie-pulti/pult-dlja-lg-rm-l999-universalnii-3d-huayu-2-koda")</f>
        <v>https://pulti.ua/universalnie-pulti/pult-dlja-lg-rm-l999-universalnii-3d-huayu-2-koda</v>
      </c>
    </row>
    <row r="1537" spans="1:8" s="18" customFormat="1" ht="15" customHeight="1">
      <c r="A1537" s="39">
        <v>3112</v>
      </c>
      <c r="B1537" s="26" t="s">
        <v>1628</v>
      </c>
      <c r="C1537" s="13" t="s">
        <v>11</v>
      </c>
      <c r="D1537" s="14"/>
      <c r="E1537" s="9">
        <v>82.5</v>
      </c>
      <c r="F1537" s="9">
        <f>D1537*E1537</f>
        <v>0</v>
      </c>
      <c r="G1537" s="13"/>
      <c r="H1537" s="14" t="str">
        <f>HYPERLINK("https://pulti.ua/universalnie-pulti/pult-dlja-mitsubishi-rm-011s--universalnii-huayu")</f>
        <v>https://pulti.ua/universalnie-pulti/pult-dlja-mitsubishi-rm-011s--universalnii-huayu</v>
      </c>
    </row>
    <row r="1538" spans="1:8" s="18" customFormat="1" ht="15" customHeight="1">
      <c r="A1538" s="39">
        <v>3058</v>
      </c>
      <c r="B1538" s="26" t="s">
        <v>1629</v>
      </c>
      <c r="C1538" s="13" t="s">
        <v>22</v>
      </c>
      <c r="D1538" s="14"/>
      <c r="E1538" s="9">
        <v>82.5</v>
      </c>
      <c r="F1538" s="9">
        <f>D1538*E1538</f>
        <v>0</v>
      </c>
      <c r="G1538" s="13"/>
      <c r="H1538" s="14" t="str">
        <f>HYPERLINK("https://pulti.ua/universalnie-pulti/pult-dlja-panasonic-rm-1020m-universalnii-huayu")</f>
        <v>https://pulti.ua/universalnie-pulti/pult-dlja-panasonic-rm-1020m-universalnii-huayu</v>
      </c>
    </row>
    <row r="1539" spans="1:8" s="18" customFormat="1" ht="15" customHeight="1">
      <c r="A1539" s="39">
        <v>3283</v>
      </c>
      <c r="B1539" s="26" t="s">
        <v>1630</v>
      </c>
      <c r="C1539" s="13" t="s">
        <v>22</v>
      </c>
      <c r="D1539" s="14"/>
      <c r="E1539" s="9">
        <v>75</v>
      </c>
      <c r="F1539" s="9">
        <f>D1539*E1539</f>
        <v>0</v>
      </c>
      <c r="G1539" s="13"/>
      <c r="H1539" s="14" t="str">
        <f>HYPERLINK("https://pulti.ua/universalnie-pulti/pult-dlja-panasonic-rm-520m-universalnii-huayu")</f>
        <v>https://pulti.ua/universalnie-pulti/pult-dlja-panasonic-rm-520m-universalnii-huayu</v>
      </c>
    </row>
    <row r="1540" spans="1:8" s="18" customFormat="1" ht="15" customHeight="1">
      <c r="A1540" s="39">
        <v>1527</v>
      </c>
      <c r="B1540" s="26" t="s">
        <v>1631</v>
      </c>
      <c r="C1540" s="13" t="s">
        <v>11</v>
      </c>
      <c r="D1540" s="14"/>
      <c r="E1540" s="9">
        <v>56.3</v>
      </c>
      <c r="F1540" s="9">
        <f>D1540*E1540</f>
        <v>0</v>
      </c>
      <c r="G1540" s="13"/>
      <c r="H1540" s="14" t="str">
        <f>HYPERLINK("https://pulti.ua/universalnie-pulti/pult-dlja-panasonic-rm-532m-universalnii-huayu-2-koda")</f>
        <v>https://pulti.ua/universalnie-pulti/pult-dlja-panasonic-rm-532m-universalnii-huayu-2-koda</v>
      </c>
    </row>
    <row r="1541" spans="1:8" s="18" customFormat="1" ht="15" customHeight="1">
      <c r="A1541" s="39">
        <v>2338</v>
      </c>
      <c r="B1541" s="26" t="s">
        <v>1632</v>
      </c>
      <c r="C1541" s="13" t="s">
        <v>22</v>
      </c>
      <c r="D1541" s="14"/>
      <c r="E1541" s="9">
        <v>90</v>
      </c>
      <c r="F1541" s="9">
        <f>D1541*E1541</f>
        <v>0</v>
      </c>
      <c r="G1541" s="13"/>
      <c r="H1541" s="14" t="str">
        <f>HYPERLINK("https://pulti.ua/universalnie-pulti/pult-dlja-panasonic-rm-936m-universalnii-huayu")</f>
        <v>https://pulti.ua/universalnie-pulti/pult-dlja-panasonic-rm-936m-universalnii-huayu</v>
      </c>
    </row>
    <row r="1542" spans="1:8" s="18" customFormat="1" ht="15" customHeight="1">
      <c r="A1542" s="39">
        <v>3918</v>
      </c>
      <c r="B1542" s="26" t="s">
        <v>1633</v>
      </c>
      <c r="C1542" s="13" t="s">
        <v>22</v>
      </c>
      <c r="D1542" s="15" t="s">
        <v>1314</v>
      </c>
      <c r="E1542" s="9">
        <v>101.3</v>
      </c>
      <c r="F1542" s="9"/>
      <c r="G1542" s="13"/>
      <c r="H1542" s="14" t="str">
        <f>HYPERLINK("https://pulti.ua/universalnie-pulti/universalnii-pult-huayu-dlja-panasonic-rm-d1170")</f>
        <v>https://pulti.ua/universalnie-pulti/universalnii-pult-huayu-dlja-panasonic-rm-d1170</v>
      </c>
    </row>
    <row r="1543" spans="1:8" s="18" customFormat="1" ht="15" customHeight="1">
      <c r="A1543" s="39">
        <v>3919</v>
      </c>
      <c r="B1543" s="26" t="s">
        <v>1634</v>
      </c>
      <c r="C1543" s="13" t="s">
        <v>22</v>
      </c>
      <c r="D1543" s="14"/>
      <c r="E1543" s="9">
        <v>71.3</v>
      </c>
      <c r="F1543" s="9">
        <f>D1543*E1543</f>
        <v>0</v>
      </c>
      <c r="G1543" s="13"/>
      <c r="H1543" s="14" t="str">
        <f>HYPERLINK("https://pulti.ua/universalnie-pulti/universalnii-pult-huayu-dlja-panasonic-rm-1180m")</f>
        <v>https://pulti.ua/universalnie-pulti/universalnii-pult-huayu-dlja-panasonic-rm-1180m</v>
      </c>
    </row>
    <row r="1544" spans="1:8" s="18" customFormat="1" ht="15" customHeight="1">
      <c r="A1544" s="39">
        <v>1528</v>
      </c>
      <c r="B1544" s="26" t="s">
        <v>1635</v>
      </c>
      <c r="C1544" s="13" t="s">
        <v>22</v>
      </c>
      <c r="D1544" s="14"/>
      <c r="E1544" s="9">
        <v>75</v>
      </c>
      <c r="F1544" s="9">
        <f>D1544*E1544</f>
        <v>0</v>
      </c>
      <c r="G1544" s="13"/>
      <c r="H1544" s="14" t="str">
        <f>HYPERLINK("https://pulti.ua/universalnie-pulti/pult-dlja-panasonic-rm-d630-universalnii-huayu")</f>
        <v>https://pulti.ua/universalnie-pulti/pult-dlja-panasonic-rm-d630-universalnii-huayu</v>
      </c>
    </row>
    <row r="1545" spans="1:8" s="18" customFormat="1" ht="15" customHeight="1">
      <c r="A1545" s="39">
        <v>2334</v>
      </c>
      <c r="B1545" s="26" t="s">
        <v>1636</v>
      </c>
      <c r="C1545" s="13" t="s">
        <v>14</v>
      </c>
      <c r="D1545" s="15" t="s">
        <v>1599</v>
      </c>
      <c r="E1545" s="9">
        <v>82.5</v>
      </c>
      <c r="F1545" s="9"/>
      <c r="G1545" s="13"/>
      <c r="H1545" s="14" t="str">
        <f>HYPERLINK("https://pulti.ua/universalnie-pulti/pult-dlja-panasonic-rm-d920plus-universalnii-pvc-box-huayu")</f>
        <v>https://pulti.ua/universalnie-pulti/pult-dlja-panasonic-rm-d920plus-universalnii-pvc-box-huayu</v>
      </c>
    </row>
    <row r="1546" spans="1:8" s="18" customFormat="1" ht="15" customHeight="1">
      <c r="A1546" s="39">
        <v>4141</v>
      </c>
      <c r="B1546" s="26" t="s">
        <v>1637</v>
      </c>
      <c r="C1546" s="13" t="s">
        <v>14</v>
      </c>
      <c r="D1546" s="14"/>
      <c r="E1546" s="9">
        <v>95.6</v>
      </c>
      <c r="F1546" s="9">
        <f aca="true" t="shared" si="48" ref="F1546:F1556">D1546*E1546</f>
        <v>0</v>
      </c>
      <c r="G1546" s="13"/>
      <c r="H1546" s="14" t="str">
        <f>HYPERLINK("https://pulti.ua/tv/universalnyiy-pult-huayu-dlya-panasonic-rm-l1268")</f>
        <v>https://pulti.ua/tv/universalnyiy-pult-huayu-dlya-panasonic-rm-l1268</v>
      </c>
    </row>
    <row r="1547" spans="1:8" s="18" customFormat="1" ht="15" customHeight="1">
      <c r="A1547" s="39">
        <v>4577</v>
      </c>
      <c r="B1547" s="26" t="s">
        <v>1638</v>
      </c>
      <c r="C1547" s="13" t="s">
        <v>14</v>
      </c>
      <c r="D1547" s="14"/>
      <c r="E1547" s="9">
        <v>95.6</v>
      </c>
      <c r="F1547" s="9">
        <f t="shared" si="48"/>
        <v>0</v>
      </c>
      <c r="G1547" s="13"/>
      <c r="H1547" s="14" t="str">
        <f>HYPERLINK("https://pulti.ua/tv/universalnyj-pult-huayu-dlya-panasonic-rm-l1378")</f>
        <v>https://pulti.ua/tv/universalnyj-pult-huayu-dlya-panasonic-rm-l1378</v>
      </c>
    </row>
    <row r="1548" spans="1:8" s="18" customFormat="1" ht="15" customHeight="1">
      <c r="A1548" s="39">
        <v>1606</v>
      </c>
      <c r="B1548" s="26" t="s">
        <v>1639</v>
      </c>
      <c r="C1548" s="13" t="s">
        <v>11</v>
      </c>
      <c r="D1548" s="14"/>
      <c r="E1548" s="9">
        <v>60</v>
      </c>
      <c r="F1548" s="9">
        <f t="shared" si="48"/>
        <v>0</v>
      </c>
      <c r="G1548" s="13"/>
      <c r="H1548" s="14" t="str">
        <f>HYPERLINK("https://pulti.ua/universalnie-pulti/pult-dlja-philips-rm-022c-universalnii-huayu")</f>
        <v>https://pulti.ua/universalnie-pulti/pult-dlja-philips-rm-022c-universalnii-huayu</v>
      </c>
    </row>
    <row r="1549" spans="1:8" s="18" customFormat="1" ht="15" customHeight="1">
      <c r="A1549" s="39">
        <v>1607</v>
      </c>
      <c r="B1549" s="26" t="s">
        <v>1640</v>
      </c>
      <c r="C1549" s="13" t="s">
        <v>11</v>
      </c>
      <c r="D1549" s="14"/>
      <c r="E1549" s="9">
        <v>60</v>
      </c>
      <c r="F1549" s="9">
        <f t="shared" si="48"/>
        <v>0</v>
      </c>
      <c r="G1549" s="13"/>
      <c r="H1549" s="14" t="str">
        <f>HYPERLINK("https://pulti.ua/universalnie-pulti/pult-dlja-philips-rm-120c-universalnii-huayu")</f>
        <v>https://pulti.ua/universalnie-pulti/pult-dlja-philips-rm-120c-universalnii-huayu</v>
      </c>
    </row>
    <row r="1550" spans="1:8" s="18" customFormat="1" ht="15" customHeight="1">
      <c r="A1550" s="39">
        <v>1614</v>
      </c>
      <c r="B1550" s="26" t="s">
        <v>1641</v>
      </c>
      <c r="C1550" s="13" t="s">
        <v>22</v>
      </c>
      <c r="D1550" s="14"/>
      <c r="E1550" s="9">
        <v>82.5</v>
      </c>
      <c r="F1550" s="9">
        <f t="shared" si="48"/>
        <v>0</v>
      </c>
      <c r="G1550" s="13"/>
      <c r="H1550" s="14" t="str">
        <f>HYPERLINK("https://pulti.ua/universalnie-pulti/pult-dlja-philips-rm-797z-universalnii-huayu-2-koda")</f>
        <v>https://pulti.ua/universalnie-pulti/pult-dlja-philips-rm-797z-universalnii-huayu-2-koda</v>
      </c>
    </row>
    <row r="1551" spans="1:8" s="18" customFormat="1" ht="15" customHeight="1">
      <c r="A1551" s="39">
        <v>3082</v>
      </c>
      <c r="B1551" s="26" t="s">
        <v>1642</v>
      </c>
      <c r="C1551" s="13" t="s">
        <v>22</v>
      </c>
      <c r="D1551" s="14"/>
      <c r="E1551" s="9">
        <v>90</v>
      </c>
      <c r="F1551" s="9">
        <f t="shared" si="48"/>
        <v>0</v>
      </c>
      <c r="G1551" s="13"/>
      <c r="H1551" s="14" t="str">
        <f>HYPERLINK("https://pulti.ua/tv/pult-dlja-philips-rm-d1000w-universalnii-pvr-box-huayu")</f>
        <v>https://pulti.ua/tv/pult-dlja-philips-rm-d1000w-universalnii-pvr-box-huayu</v>
      </c>
    </row>
    <row r="1552" spans="1:8" s="18" customFormat="1" ht="15" customHeight="1">
      <c r="A1552" s="39">
        <v>1609</v>
      </c>
      <c r="B1552" s="26" t="s">
        <v>1643</v>
      </c>
      <c r="C1552" s="13" t="s">
        <v>22</v>
      </c>
      <c r="D1552" s="14"/>
      <c r="E1552" s="9">
        <v>61.9</v>
      </c>
      <c r="F1552" s="9">
        <f t="shared" si="48"/>
        <v>0</v>
      </c>
      <c r="G1552" s="13"/>
      <c r="H1552" s="14" t="str">
        <f>HYPERLINK("https://pulti.ua/universalnie-pulti/pult-dlja-philips-rm-d627c-universalnii-huayu")</f>
        <v>https://pulti.ua/universalnie-pulti/pult-dlja-philips-rm-d627c-universalnii-huayu</v>
      </c>
    </row>
    <row r="1553" spans="1:8" s="18" customFormat="1" ht="15" customHeight="1">
      <c r="A1553" s="39">
        <v>1610</v>
      </c>
      <c r="B1553" s="26" t="s">
        <v>1644</v>
      </c>
      <c r="C1553" s="13" t="s">
        <v>22</v>
      </c>
      <c r="D1553" s="14"/>
      <c r="E1553" s="9">
        <v>75</v>
      </c>
      <c r="F1553" s="9">
        <f t="shared" si="48"/>
        <v>0</v>
      </c>
      <c r="G1553" s="13"/>
      <c r="H1553" s="14" t="str">
        <f>HYPERLINK("https://pulti.ua/universalnie-pulti/pult-dlja-philips-rm-d631-universalnii-huayu")</f>
        <v>https://pulti.ua/universalnie-pulti/pult-dlja-philips-rm-d631-universalnii-huayu</v>
      </c>
    </row>
    <row r="1554" spans="1:8" s="18" customFormat="1" ht="15" customHeight="1">
      <c r="A1554" s="39">
        <v>1611</v>
      </c>
      <c r="B1554" s="26" t="s">
        <v>1645</v>
      </c>
      <c r="C1554" s="13" t="s">
        <v>22</v>
      </c>
      <c r="D1554" s="14"/>
      <c r="E1554" s="9">
        <v>56.3</v>
      </c>
      <c r="F1554" s="9">
        <f t="shared" si="48"/>
        <v>0</v>
      </c>
      <c r="G1554" s="13"/>
      <c r="H1554" s="14" t="str">
        <f>HYPERLINK("https://pulti.ua/universalnie-pulti/pult-dlja-philips-rm-d691c-universalnii-huayu")</f>
        <v>https://pulti.ua/universalnie-pulti/pult-dlja-philips-rm-d691c-universalnii-huayu</v>
      </c>
    </row>
    <row r="1555" spans="1:8" s="18" customFormat="1" ht="15" customHeight="1">
      <c r="A1555" s="39">
        <v>1613</v>
      </c>
      <c r="B1555" s="26" t="s">
        <v>1646</v>
      </c>
      <c r="C1555" s="13" t="s">
        <v>22</v>
      </c>
      <c r="D1555" s="14"/>
      <c r="E1555" s="9">
        <v>105</v>
      </c>
      <c r="F1555" s="9">
        <f t="shared" si="48"/>
        <v>0</v>
      </c>
      <c r="G1555" s="13"/>
      <c r="H1555" s="14" t="str">
        <f>HYPERLINK("https://pulti.ua/universalnie-pulti/pult-dlja-philips-rm-d727-universalnii-huayu-2-koda")</f>
        <v>https://pulti.ua/universalnie-pulti/pult-dlja-philips-rm-d727-universalnii-huayu-2-koda</v>
      </c>
    </row>
    <row r="1556" spans="1:8" s="18" customFormat="1" ht="15" customHeight="1">
      <c r="A1556" s="39">
        <v>3092</v>
      </c>
      <c r="B1556" s="26" t="s">
        <v>1647</v>
      </c>
      <c r="C1556" s="13" t="s">
        <v>14</v>
      </c>
      <c r="D1556" s="14"/>
      <c r="E1556" s="9">
        <v>56.3</v>
      </c>
      <c r="F1556" s="9">
        <f t="shared" si="48"/>
        <v>0</v>
      </c>
      <c r="G1556" s="13"/>
      <c r="H1556" s="14" t="str">
        <f>HYPERLINK("https://pulti.ua/universalnie-pulti/pult-dlja-philips-rm-l1030-universalnii-huayu")</f>
        <v>https://pulti.ua/universalnie-pulti/pult-dlja-philips-rm-l1030-universalnii-huayu</v>
      </c>
    </row>
    <row r="1557" spans="1:8" s="18" customFormat="1" ht="15" customHeight="1">
      <c r="A1557" s="39">
        <v>3734</v>
      </c>
      <c r="B1557" s="26" t="s">
        <v>1648</v>
      </c>
      <c r="C1557" s="13" t="s">
        <v>14</v>
      </c>
      <c r="D1557" s="15" t="s">
        <v>1370</v>
      </c>
      <c r="E1557" s="9">
        <v>110.6</v>
      </c>
      <c r="F1557" s="9"/>
      <c r="G1557" s="13"/>
      <c r="H1557" s="14" t="str">
        <f>HYPERLINK("https://pulti.ua/universalnie-pulti/pult-dlja-philips-rm-l1125-universalnii-huayu")</f>
        <v>https://pulti.ua/universalnie-pulti/pult-dlja-philips-rm-l1125-universalnii-huayu</v>
      </c>
    </row>
    <row r="1558" spans="1:8" s="18" customFormat="1" ht="15" customHeight="1">
      <c r="A1558" s="39">
        <v>3735</v>
      </c>
      <c r="B1558" s="26" t="s">
        <v>1649</v>
      </c>
      <c r="C1558" s="13" t="s">
        <v>14</v>
      </c>
      <c r="D1558" s="14"/>
      <c r="E1558" s="9">
        <v>88.1</v>
      </c>
      <c r="F1558" s="9">
        <f aca="true" t="shared" si="49" ref="F1558:F1578">D1558*E1558</f>
        <v>0</v>
      </c>
      <c r="G1558" s="13"/>
      <c r="H1558" s="14" t="str">
        <f>HYPERLINK("https://pulti.ua/universalnie-pulti/pult-dlja-philips-rm-l1128-universalnii-huayu")</f>
        <v>https://pulti.ua/universalnie-pulti/pult-dlja-philips-rm-l1128-universalnii-huayu</v>
      </c>
    </row>
    <row r="1559" spans="1:8" s="18" customFormat="1" ht="15" customHeight="1">
      <c r="A1559" s="39">
        <v>3922</v>
      </c>
      <c r="B1559" s="26" t="s">
        <v>1650</v>
      </c>
      <c r="C1559" s="13" t="s">
        <v>14</v>
      </c>
      <c r="D1559" s="14"/>
      <c r="E1559" s="9">
        <v>90</v>
      </c>
      <c r="F1559" s="9">
        <f t="shared" si="49"/>
        <v>0</v>
      </c>
      <c r="G1559" s="13"/>
      <c r="H1559" s="14" t="str">
        <f>HYPERLINK("https://pulti.ua/universalnie-pulti/universalnii-pult-huayu-dlja-philips-rm-l1220")</f>
        <v>https://pulti.ua/universalnie-pulti/universalnii-pult-huayu-dlja-philips-rm-l1220</v>
      </c>
    </row>
    <row r="1560" spans="1:8" s="18" customFormat="1" ht="15" customHeight="1">
      <c r="A1560" s="39">
        <v>3923</v>
      </c>
      <c r="B1560" s="26" t="s">
        <v>1651</v>
      </c>
      <c r="C1560" s="13" t="s">
        <v>14</v>
      </c>
      <c r="D1560" s="14"/>
      <c r="E1560" s="9">
        <v>88.1</v>
      </c>
      <c r="F1560" s="9">
        <f t="shared" si="49"/>
        <v>0</v>
      </c>
      <c r="G1560" s="13"/>
      <c r="H1560" s="14" t="str">
        <f>HYPERLINK("https://pulti.ua/universalnie-pulti/universalnii-pult-huayu-dlja-philips-rm-l1225")</f>
        <v>https://pulti.ua/universalnie-pulti/universalnii-pult-huayu-dlja-philips-rm-l1225</v>
      </c>
    </row>
    <row r="1561" spans="1:8" s="18" customFormat="1" ht="15" customHeight="1">
      <c r="A1561" s="39">
        <v>3921</v>
      </c>
      <c r="B1561" s="26" t="s">
        <v>1652</v>
      </c>
      <c r="C1561" s="13" t="s">
        <v>14</v>
      </c>
      <c r="D1561" s="14"/>
      <c r="E1561" s="9">
        <v>90</v>
      </c>
      <c r="F1561" s="9">
        <f t="shared" si="49"/>
        <v>0</v>
      </c>
      <c r="G1561" s="13"/>
      <c r="H1561" s="14" t="str">
        <f>HYPERLINK("https://pulti.ua/tv/universalnii-pult-huayu-dlja-philips-rm-l1285")</f>
        <v>https://pulti.ua/tv/universalnii-pult-huayu-dlja-philips-rm-l1285</v>
      </c>
    </row>
    <row r="1562" spans="1:8" s="18" customFormat="1" ht="15" customHeight="1">
      <c r="A1562" s="39">
        <v>4757</v>
      </c>
      <c r="B1562" s="26" t="s">
        <v>1653</v>
      </c>
      <c r="C1562" s="13" t="s">
        <v>14</v>
      </c>
      <c r="D1562" s="14"/>
      <c r="E1562" s="9">
        <v>101.3</v>
      </c>
      <c r="F1562" s="9">
        <f t="shared" si="49"/>
        <v>0</v>
      </c>
      <c r="G1562" s="13"/>
      <c r="H1562" s="14" t="str">
        <f>HYPERLINK("https://pulti.ua/tv/universalnyj-pult-huayu-dlya-philips-rm-l1660")</f>
        <v>https://pulti.ua/tv/universalnyj-pult-huayu-dlya-philips-rm-l1660</v>
      </c>
    </row>
    <row r="1563" spans="1:8" s="18" customFormat="1" ht="15" customHeight="1">
      <c r="A1563" s="39">
        <v>1615</v>
      </c>
      <c r="B1563" s="26" t="s">
        <v>1654</v>
      </c>
      <c r="C1563" s="13" t="s">
        <v>22</v>
      </c>
      <c r="D1563" s="14"/>
      <c r="E1563" s="9">
        <v>114.4</v>
      </c>
      <c r="F1563" s="9">
        <f t="shared" si="49"/>
        <v>0</v>
      </c>
      <c r="G1563" s="13"/>
      <c r="H1563" s="14" t="str">
        <f>HYPERLINK("https://pulti.ua/universalnie-pulti/pult-dlja-philips-rm-ph07-universalnii-huayu")</f>
        <v>https://pulti.ua/universalnie-pulti/pult-dlja-philips-rm-ph07-universalnii-huayu</v>
      </c>
    </row>
    <row r="1564" spans="1:8" s="18" customFormat="1" ht="15" customHeight="1">
      <c r="A1564" s="39">
        <v>2341</v>
      </c>
      <c r="B1564" s="26" t="s">
        <v>1655</v>
      </c>
      <c r="C1564" s="13" t="s">
        <v>1086</v>
      </c>
      <c r="D1564" s="14"/>
      <c r="E1564" s="9">
        <v>75</v>
      </c>
      <c r="F1564" s="9">
        <f t="shared" si="49"/>
        <v>0</v>
      </c>
      <c r="G1564" s="13"/>
      <c r="H1564" s="14" t="str">
        <f>HYPERLINK("https://pulti.ua/universalnie-pulti/pult-dlja-pioneer-rm-d761-universalnii-huayu-3-koda")</f>
        <v>https://pulti.ua/universalnie-pulti/pult-dlja-pioneer-rm-d761-universalnii-huayu-3-koda</v>
      </c>
    </row>
    <row r="1565" spans="1:8" s="18" customFormat="1" ht="15" customHeight="1">
      <c r="A1565" s="39">
        <v>2345</v>
      </c>
      <c r="B1565" s="26" t="s">
        <v>1656</v>
      </c>
      <c r="C1565" s="13" t="s">
        <v>295</v>
      </c>
      <c r="D1565" s="14"/>
      <c r="E1565" s="9">
        <v>93.8</v>
      </c>
      <c r="F1565" s="9">
        <f t="shared" si="49"/>
        <v>0</v>
      </c>
      <c r="G1565" s="13"/>
      <c r="H1565" s="14" t="str">
        <f>HYPERLINK("https://pulti.ua/universalnie-pulti/pult-dlja-pioneer-rm-d975-universalnii-huayu")</f>
        <v>https://pulti.ua/universalnie-pulti/pult-dlja-pioneer-rm-d975-universalnii-huayu</v>
      </c>
    </row>
    <row r="1566" spans="1:8" s="18" customFormat="1" ht="15" customHeight="1">
      <c r="A1566" s="39">
        <v>1674</v>
      </c>
      <c r="B1566" s="26" t="s">
        <v>1657</v>
      </c>
      <c r="C1566" s="13" t="s">
        <v>11</v>
      </c>
      <c r="D1566" s="14"/>
      <c r="E1566" s="9">
        <v>61.5</v>
      </c>
      <c r="F1566" s="9">
        <f t="shared" si="49"/>
        <v>0</v>
      </c>
      <c r="G1566" s="13"/>
      <c r="H1566" s="14" t="str">
        <f>HYPERLINK("https://pulti.ua/universalnie-pulti/pult-dlja-rolsen-rm-563bfc-universalnii-huayu-3-koda")</f>
        <v>https://pulti.ua/universalnie-pulti/pult-dlja-rolsen-rm-563bfc-universalnii-huayu-3-koda</v>
      </c>
    </row>
    <row r="1567" spans="1:8" s="18" customFormat="1" ht="15" customHeight="1">
      <c r="A1567" s="39">
        <v>1827</v>
      </c>
      <c r="B1567" s="26" t="s">
        <v>1658</v>
      </c>
      <c r="C1567" s="13" t="s">
        <v>11</v>
      </c>
      <c r="D1567" s="14"/>
      <c r="E1567" s="9">
        <v>60</v>
      </c>
      <c r="F1567" s="9">
        <f t="shared" si="49"/>
        <v>0</v>
      </c>
      <c r="G1567" s="13"/>
      <c r="H1567" s="14" t="str">
        <f>HYPERLINK("https://pulti.ua/universalnie-pulti/pult-dlja-samsung-rm-016fc-universalnii-huayu-2-koda")</f>
        <v>https://pulti.ua/universalnie-pulti/pult-dlja-samsung-rm-016fc-universalnii-huayu-2-koda</v>
      </c>
    </row>
    <row r="1568" spans="1:8" s="18" customFormat="1" ht="15" customHeight="1">
      <c r="A1568" s="39">
        <v>1829</v>
      </c>
      <c r="B1568" s="26" t="s">
        <v>1659</v>
      </c>
      <c r="C1568" s="13" t="s">
        <v>11</v>
      </c>
      <c r="D1568" s="14"/>
      <c r="E1568" s="9">
        <v>63.8</v>
      </c>
      <c r="F1568" s="9">
        <f t="shared" si="49"/>
        <v>0</v>
      </c>
      <c r="G1568" s="13"/>
      <c r="H1568" s="14" t="str">
        <f>HYPERLINK("https://pulti.ua/universalnie-pulti/pult-dlja-samsung-rm-179fc-universalnii-huayu-2-koda")</f>
        <v>https://pulti.ua/universalnie-pulti/pult-dlja-samsung-rm-179fc-universalnii-huayu-2-koda</v>
      </c>
    </row>
    <row r="1569" spans="1:8" s="18" customFormat="1" ht="15" customHeight="1">
      <c r="A1569" s="39">
        <v>1830</v>
      </c>
      <c r="B1569" s="26" t="s">
        <v>1660</v>
      </c>
      <c r="C1569" s="13" t="s">
        <v>22</v>
      </c>
      <c r="D1569" s="14"/>
      <c r="E1569" s="9">
        <v>67.5</v>
      </c>
      <c r="F1569" s="9">
        <f t="shared" si="49"/>
        <v>0</v>
      </c>
      <c r="G1569" s="13"/>
      <c r="H1569" s="14" t="str">
        <f>HYPERLINK("https://pulti.ua/universalnie-pulti/pult-dlja-samsung-rm-552f-universalnii-huayu")</f>
        <v>https://pulti.ua/universalnie-pulti/pult-dlja-samsung-rm-552f-universalnii-huayu</v>
      </c>
    </row>
    <row r="1570" spans="1:8" s="18" customFormat="1" ht="15" customHeight="1">
      <c r="A1570" s="39">
        <v>1831</v>
      </c>
      <c r="B1570" s="26" t="s">
        <v>1661</v>
      </c>
      <c r="C1570" s="13" t="s">
        <v>22</v>
      </c>
      <c r="D1570" s="14"/>
      <c r="E1570" s="9">
        <v>80.6</v>
      </c>
      <c r="F1570" s="9">
        <f t="shared" si="49"/>
        <v>0</v>
      </c>
      <c r="G1570" s="13"/>
      <c r="H1570" s="14" t="str">
        <f>HYPERLINK("https://pulti.ua/universalnie-pulti/pult-dlja-samsung-rm-625f-universalnii-huayu")</f>
        <v>https://pulti.ua/universalnie-pulti/pult-dlja-samsung-rm-625f-universalnii-huayu</v>
      </c>
    </row>
    <row r="1571" spans="1:8" s="18" customFormat="1" ht="15" customHeight="1">
      <c r="A1571" s="46">
        <v>4852</v>
      </c>
      <c r="B1571" s="47" t="s">
        <v>1662</v>
      </c>
      <c r="C1571" s="13" t="s">
        <v>14</v>
      </c>
      <c r="D1571" s="14"/>
      <c r="E1571" s="9">
        <v>76.9</v>
      </c>
      <c r="F1571" s="9">
        <f t="shared" si="49"/>
        <v>0</v>
      </c>
      <c r="G1571" s="13"/>
      <c r="H1571" s="14" t="str">
        <f>HYPERLINK("https://pulti.ua/tv/universalnyj-pult-huayu-dlya-samsung-rm-658f")</f>
        <v>https://pulti.ua/tv/universalnyj-pult-huayu-dlya-samsung-rm-658f</v>
      </c>
    </row>
    <row r="1572" spans="1:8" s="18" customFormat="1" ht="15" customHeight="1">
      <c r="A1572" s="39">
        <v>2354</v>
      </c>
      <c r="B1572" s="26" t="s">
        <v>1663</v>
      </c>
      <c r="C1572" s="13" t="s">
        <v>14</v>
      </c>
      <c r="D1572" s="14"/>
      <c r="E1572" s="9">
        <v>81.4</v>
      </c>
      <c r="F1572" s="9">
        <f t="shared" si="49"/>
        <v>0</v>
      </c>
      <c r="G1572" s="13"/>
      <c r="H1572" s="14" t="str">
        <f>HYPERLINK("https://pulti.ua/universalnie-pulti/pult-dlja-samsung-rm-d1078-3d-universalnii-pvc-box-huayu")</f>
        <v>https://pulti.ua/universalnie-pulti/pult-dlja-samsung-rm-d1078-3d-universalnii-pvc-box-huayu</v>
      </c>
    </row>
    <row r="1573" spans="1:8" s="18" customFormat="1" ht="15" customHeight="1">
      <c r="A1573" s="39">
        <v>3720</v>
      </c>
      <c r="B1573" s="26" t="s">
        <v>1664</v>
      </c>
      <c r="C1573" s="13" t="s">
        <v>1146</v>
      </c>
      <c r="D1573" s="14"/>
      <c r="E1573" s="9">
        <v>112.5</v>
      </c>
      <c r="F1573" s="9">
        <f t="shared" si="49"/>
        <v>0</v>
      </c>
      <c r="G1573" s="13"/>
      <c r="H1573" s="14" t="str">
        <f>HYPERLINK("https://pulti.ua/universalnie-pulti/pult-universalnii-dlja-samsung-rm-d1087-blu-ray-huayu")</f>
        <v>https://pulti.ua/universalnie-pulti/pult-universalnii-dlja-samsung-rm-d1087-blu-ray-huayu</v>
      </c>
    </row>
    <row r="1574" spans="1:8" s="18" customFormat="1" ht="15" customHeight="1">
      <c r="A1574" s="39">
        <v>2428</v>
      </c>
      <c r="B1574" s="26" t="s">
        <v>1665</v>
      </c>
      <c r="C1574" s="13" t="s">
        <v>1086</v>
      </c>
      <c r="D1574" s="14"/>
      <c r="E1574" s="9">
        <v>101.3</v>
      </c>
      <c r="F1574" s="9">
        <f t="shared" si="49"/>
        <v>0</v>
      </c>
      <c r="G1574" s="13"/>
      <c r="H1574" s="14" t="str">
        <f>HYPERLINK("https://pulti.ua/universalnie-pulti/pult-dlja-samsung-rm-d507-universalnii-huayu")</f>
        <v>https://pulti.ua/universalnie-pulti/pult-dlja-samsung-rm-d507-universalnii-huayu</v>
      </c>
    </row>
    <row r="1575" spans="1:8" s="18" customFormat="1" ht="15" customHeight="1">
      <c r="A1575" s="39">
        <v>1832</v>
      </c>
      <c r="B1575" s="26" t="s">
        <v>1666</v>
      </c>
      <c r="C1575" s="13" t="s">
        <v>22</v>
      </c>
      <c r="D1575" s="14"/>
      <c r="E1575" s="9">
        <v>86.3</v>
      </c>
      <c r="F1575" s="9">
        <f t="shared" si="49"/>
        <v>0</v>
      </c>
      <c r="G1575" s="13"/>
      <c r="H1575" s="14" t="str">
        <f>HYPERLINK("https://pulti.ua/universalnie-pulti/pult-dlja-samsung-rm-d613-universalnii-huayu")</f>
        <v>https://pulti.ua/universalnie-pulti/pult-dlja-samsung-rm-d613-universalnii-huayu</v>
      </c>
    </row>
    <row r="1576" spans="1:8" s="18" customFormat="1" ht="15" customHeight="1">
      <c r="A1576" s="39">
        <v>2429</v>
      </c>
      <c r="B1576" s="26" t="s">
        <v>1667</v>
      </c>
      <c r="C1576" s="13" t="s">
        <v>1086</v>
      </c>
      <c r="D1576" s="14"/>
      <c r="E1576" s="9">
        <v>101.3</v>
      </c>
      <c r="F1576" s="9">
        <f t="shared" si="49"/>
        <v>0</v>
      </c>
      <c r="G1576" s="13"/>
      <c r="H1576" s="14" t="str">
        <f>HYPERLINK("https://pulti.ua/universalnie-pulti/pult-dlja-samsung-rm-d673-universalnii-huayu")</f>
        <v>https://pulti.ua/universalnie-pulti/pult-dlja-samsung-rm-d673-universalnii-huayu</v>
      </c>
    </row>
    <row r="1577" spans="1:8" s="18" customFormat="1" ht="15" customHeight="1">
      <c r="A1577" s="39">
        <v>1835</v>
      </c>
      <c r="B1577" s="26" t="s">
        <v>1668</v>
      </c>
      <c r="C1577" s="13" t="s">
        <v>22</v>
      </c>
      <c r="D1577" s="14"/>
      <c r="E1577" s="9">
        <v>108.8</v>
      </c>
      <c r="F1577" s="9">
        <f t="shared" si="49"/>
        <v>0</v>
      </c>
      <c r="G1577" s="13"/>
      <c r="H1577" s="14" t="str">
        <f>HYPERLINK("https://pulti.ua/universalnie-pulti/pult-dlja-samsung-rm-d762-universalnii-huayu")</f>
        <v>https://pulti.ua/universalnie-pulti/pult-dlja-samsung-rm-d762-universalnii-huayu</v>
      </c>
    </row>
    <row r="1578" spans="1:8" s="18" customFormat="1" ht="15" customHeight="1">
      <c r="A1578" s="39">
        <v>3637</v>
      </c>
      <c r="B1578" s="26" t="s">
        <v>1669</v>
      </c>
      <c r="C1578" s="13" t="s">
        <v>1095</v>
      </c>
      <c r="D1578" s="14"/>
      <c r="E1578" s="9">
        <v>183.8</v>
      </c>
      <c r="F1578" s="9">
        <f t="shared" si="49"/>
        <v>0</v>
      </c>
      <c r="G1578" s="13"/>
      <c r="H1578" s="14" t="str">
        <f>HYPERLINK("https://pulti.ua/domashnie-kinoteatry/pult-dlja-samsung-rm-d935-universalnii-huayu")</f>
        <v>https://pulti.ua/domashnie-kinoteatry/pult-dlja-samsung-rm-d935-universalnii-huayu</v>
      </c>
    </row>
    <row r="1579" spans="1:8" s="18" customFormat="1" ht="15" customHeight="1">
      <c r="A1579" s="39">
        <v>2361</v>
      </c>
      <c r="B1579" s="26" t="s">
        <v>1670</v>
      </c>
      <c r="C1579" s="13" t="s">
        <v>14</v>
      </c>
      <c r="D1579" s="15" t="s">
        <v>1599</v>
      </c>
      <c r="E1579" s="9">
        <v>88.1</v>
      </c>
      <c r="F1579" s="9"/>
      <c r="G1579" s="13"/>
      <c r="H1579" s="14" t="str">
        <f>HYPERLINK("https://pulti.ua/universalnie-pulti/pult-dlja-samsung-rm-l1015-universalnii-pvc-box-huayu")</f>
        <v>https://pulti.ua/universalnie-pulti/pult-dlja-samsung-rm-l1015-universalnii-pvc-box-huayu</v>
      </c>
    </row>
    <row r="1580" spans="1:8" s="18" customFormat="1" ht="15" customHeight="1">
      <c r="A1580" s="39">
        <v>3736</v>
      </c>
      <c r="B1580" s="26" t="s">
        <v>1671</v>
      </c>
      <c r="C1580" s="13" t="s">
        <v>14</v>
      </c>
      <c r="D1580" s="14"/>
      <c r="E1580" s="9">
        <v>71.3</v>
      </c>
      <c r="F1580" s="9">
        <f>D1580*E1580</f>
        <v>0</v>
      </c>
      <c r="G1580" s="13"/>
      <c r="H1580" s="14" t="str">
        <f>HYPERLINK("https://pulti.ua/universalnie-pulti/pult-dlja-samsung-rm-l1088-universalnii-huayu")</f>
        <v>https://pulti.ua/universalnie-pulti/pult-dlja-samsung-rm-l1088-universalnii-huayu</v>
      </c>
    </row>
    <row r="1581" spans="1:8" s="18" customFormat="1" ht="15" customHeight="1">
      <c r="A1581" s="39">
        <v>4606</v>
      </c>
      <c r="B1581" s="26" t="s">
        <v>1672</v>
      </c>
      <c r="C1581" s="13" t="s">
        <v>11</v>
      </c>
      <c r="D1581" s="14"/>
      <c r="E1581" s="9">
        <v>105</v>
      </c>
      <c r="F1581" s="9">
        <f>D1581*E1581</f>
        <v>0</v>
      </c>
      <c r="G1581" s="13"/>
      <c r="H1581" s="14" t="str">
        <f>HYPERLINK("https://pulti.ua/tv/universalnyj-pult-huayu-dlya-samsung-rm-l1593")</f>
        <v>https://pulti.ua/tv/universalnyj-pult-huayu-dlya-samsung-rm-l1593</v>
      </c>
    </row>
    <row r="1582" spans="1:8" s="18" customFormat="1" ht="15" customHeight="1">
      <c r="A1582" s="39">
        <v>4470</v>
      </c>
      <c r="B1582" s="26" t="s">
        <v>1673</v>
      </c>
      <c r="C1582" s="13" t="s">
        <v>14</v>
      </c>
      <c r="D1582" s="14"/>
      <c r="E1582" s="9">
        <v>95.6</v>
      </c>
      <c r="F1582" s="9">
        <f>D1582*E1582</f>
        <v>0</v>
      </c>
      <c r="G1582" s="13"/>
      <c r="H1582" s="14" t="str">
        <f>HYPERLINK("https://pulti.ua/universalnie-pulti/universalnyiy-pult-huayu-dlya-samsung-rm-l1598")</f>
        <v>https://pulti.ua/universalnie-pulti/universalnyiy-pult-huayu-dlya-samsung-rm-l1598</v>
      </c>
    </row>
    <row r="1583" spans="1:8" s="18" customFormat="1" ht="15" customHeight="1">
      <c r="A1583" s="39">
        <v>4796</v>
      </c>
      <c r="B1583" s="26" t="s">
        <v>1249</v>
      </c>
      <c r="C1583" s="13" t="s">
        <v>14</v>
      </c>
      <c r="D1583" s="15" t="s">
        <v>1314</v>
      </c>
      <c r="E1583" s="9">
        <v>105</v>
      </c>
      <c r="F1583" s="9"/>
      <c r="G1583" s="13"/>
      <c r="H1583" s="14" t="str">
        <f>HYPERLINK("https://pulti.ua/tv/universalnyiy-pult-huayu-dlya-samsung-rm-l1613")</f>
        <v>https://pulti.ua/tv/universalnyiy-pult-huayu-dlya-samsung-rm-l1613</v>
      </c>
    </row>
    <row r="1584" spans="1:8" s="18" customFormat="1" ht="15" customHeight="1">
      <c r="A1584" s="39">
        <v>1837</v>
      </c>
      <c r="B1584" s="26" t="s">
        <v>1674</v>
      </c>
      <c r="C1584" s="13" t="s">
        <v>22</v>
      </c>
      <c r="D1584" s="14"/>
      <c r="E1584" s="9">
        <v>84.4</v>
      </c>
      <c r="F1584" s="9">
        <f>D1584*E1584</f>
        <v>0</v>
      </c>
      <c r="G1584" s="13"/>
      <c r="H1584" s="14" t="str">
        <f>HYPERLINK("https://pulti.ua/universalnie-pulti/pult-dlja-samsung-rm-l800-universalnii-huayu")</f>
        <v>https://pulti.ua/universalnie-pulti/pult-dlja-samsung-rm-l800-universalnii-huayu</v>
      </c>
    </row>
    <row r="1585" spans="1:8" s="18" customFormat="1" ht="15" customHeight="1">
      <c r="A1585" s="39">
        <v>1838</v>
      </c>
      <c r="B1585" s="26" t="s">
        <v>1675</v>
      </c>
      <c r="C1585" s="13" t="s">
        <v>22</v>
      </c>
      <c r="D1585" s="14"/>
      <c r="E1585" s="9">
        <v>75</v>
      </c>
      <c r="F1585" s="9">
        <f>D1585*E1585</f>
        <v>0</v>
      </c>
      <c r="G1585" s="13"/>
      <c r="H1585" s="14" t="str">
        <f>HYPERLINK("https://pulti.ua/universalnie-pulti/pult-dlja-samsung-rm-l888-universalnii-huayu")</f>
        <v>https://pulti.ua/universalnie-pulti/pult-dlja-samsung-rm-l888-universalnii-huayu</v>
      </c>
    </row>
    <row r="1586" spans="1:8" s="18" customFormat="1" ht="15" customHeight="1">
      <c r="A1586" s="39">
        <v>1839</v>
      </c>
      <c r="B1586" s="26" t="s">
        <v>1676</v>
      </c>
      <c r="C1586" s="13" t="s">
        <v>14</v>
      </c>
      <c r="D1586" s="15" t="s">
        <v>1599</v>
      </c>
      <c r="E1586" s="9">
        <v>82.5</v>
      </c>
      <c r="F1586" s="9"/>
      <c r="G1586" s="13"/>
      <c r="H1586" s="14" t="str">
        <f>HYPERLINK("https://pulti.ua/universalnie-pulti/pult-dlja-samsung-rm-l919-universalnii-huayu")</f>
        <v>https://pulti.ua/universalnie-pulti/pult-dlja-samsung-rm-l919-universalnii-huayu</v>
      </c>
    </row>
    <row r="1587" spans="1:8" s="18" customFormat="1" ht="15" customHeight="1">
      <c r="A1587" s="39">
        <v>1858</v>
      </c>
      <c r="B1587" s="26" t="s">
        <v>1677</v>
      </c>
      <c r="C1587" s="13" t="s">
        <v>22</v>
      </c>
      <c r="D1587" s="14"/>
      <c r="E1587" s="9">
        <v>183.8</v>
      </c>
      <c r="F1587" s="9">
        <f aca="true" t="shared" si="50" ref="F1587:F1592">D1587*E1587</f>
        <v>0</v>
      </c>
      <c r="G1587" s="13"/>
      <c r="H1587" s="14" t="str">
        <f>HYPERLINK("https://pulti.ua/universalnie-pulti/pult-dlja-sanyo-rm-632b-universalnii-huayu")</f>
        <v>https://pulti.ua/universalnie-pulti/pult-dlja-sanyo-rm-632b-universalnii-huayu</v>
      </c>
    </row>
    <row r="1588" spans="1:8" s="18" customFormat="1" ht="15" customHeight="1">
      <c r="A1588" s="39">
        <v>1908</v>
      </c>
      <c r="B1588" s="26" t="s">
        <v>1678</v>
      </c>
      <c r="C1588" s="13" t="s">
        <v>11</v>
      </c>
      <c r="D1588" s="14"/>
      <c r="E1588" s="9">
        <v>58.1</v>
      </c>
      <c r="F1588" s="9">
        <f t="shared" si="50"/>
        <v>0</v>
      </c>
      <c r="G1588" s="13"/>
      <c r="H1588" s="14" t="str">
        <f>HYPERLINK("https://pulti.ua/universalnie-pulti/pult-dlja-sharp-rm-026g-universalnii-huayu")</f>
        <v>https://pulti.ua/universalnie-pulti/pult-dlja-sharp-rm-026g-universalnii-huayu</v>
      </c>
    </row>
    <row r="1589" spans="1:8" s="18" customFormat="1" ht="15" customHeight="1">
      <c r="A1589" s="39">
        <v>1909</v>
      </c>
      <c r="B1589" s="26" t="s">
        <v>1679</v>
      </c>
      <c r="C1589" s="13" t="s">
        <v>11</v>
      </c>
      <c r="D1589" s="14"/>
      <c r="E1589" s="9">
        <v>150</v>
      </c>
      <c r="F1589" s="9">
        <f t="shared" si="50"/>
        <v>0</v>
      </c>
      <c r="G1589" s="13"/>
      <c r="H1589" s="14" t="str">
        <f>HYPERLINK("https://pulti.ua/tv/pult-dlja-sharp-rm-104g-universalnii-huayu")</f>
        <v>https://pulti.ua/tv/pult-dlja-sharp-rm-104g-universalnii-huayu</v>
      </c>
    </row>
    <row r="1590" spans="1:8" s="18" customFormat="1" ht="15" customHeight="1">
      <c r="A1590" s="39">
        <v>2374</v>
      </c>
      <c r="B1590" s="26" t="s">
        <v>1680</v>
      </c>
      <c r="C1590" s="13" t="s">
        <v>11</v>
      </c>
      <c r="D1590" s="14"/>
      <c r="E1590" s="9">
        <v>75</v>
      </c>
      <c r="F1590" s="9">
        <f t="shared" si="50"/>
        <v>0</v>
      </c>
      <c r="G1590" s="13"/>
      <c r="H1590" s="14" t="str">
        <f>HYPERLINK("https://pulti.ua/universalnie-pulti/pult-dlja-sharp-rm-638g-universalnii-huayu")</f>
        <v>https://pulti.ua/universalnie-pulti/pult-dlja-sharp-rm-638g-universalnii-huayu</v>
      </c>
    </row>
    <row r="1591" spans="1:8" s="18" customFormat="1" ht="15" customHeight="1">
      <c r="A1591" s="39">
        <v>3059</v>
      </c>
      <c r="B1591" s="26" t="s">
        <v>1681</v>
      </c>
      <c r="C1591" s="13" t="s">
        <v>14</v>
      </c>
      <c r="D1591" s="14"/>
      <c r="E1591" s="9">
        <v>97.5</v>
      </c>
      <c r="F1591" s="9">
        <f t="shared" si="50"/>
        <v>0</v>
      </c>
      <c r="G1591" s="13"/>
      <c r="H1591" s="14" t="str">
        <f>HYPERLINK("https://pulti.ua/universalnie-pulti/pult-dlja-sharp-rm-l1026-universalnii-huayu")</f>
        <v>https://pulti.ua/universalnie-pulti/pult-dlja-sharp-rm-l1026-universalnii-huayu</v>
      </c>
    </row>
    <row r="1592" spans="1:8" s="18" customFormat="1" ht="15" customHeight="1">
      <c r="A1592" s="39">
        <v>2193</v>
      </c>
      <c r="B1592" s="26" t="s">
        <v>1682</v>
      </c>
      <c r="C1592" s="13" t="s">
        <v>14</v>
      </c>
      <c r="D1592" s="14"/>
      <c r="E1592" s="9">
        <v>93.8</v>
      </c>
      <c r="F1592" s="9">
        <f t="shared" si="50"/>
        <v>0</v>
      </c>
      <c r="G1592" s="13"/>
      <c r="H1592" s="14" t="str">
        <f>HYPERLINK("https://pulti.ua/universalnie-pulti/pult-dlja-sharp-rm-l1046-universalnii-huayu")</f>
        <v>https://pulti.ua/universalnie-pulti/pult-dlja-sharp-rm-l1046-universalnii-huayu</v>
      </c>
    </row>
    <row r="1593" spans="1:8" s="18" customFormat="1" ht="15" customHeight="1">
      <c r="A1593" s="39">
        <v>4021</v>
      </c>
      <c r="B1593" s="26" t="s">
        <v>1683</v>
      </c>
      <c r="C1593" s="13" t="s">
        <v>14</v>
      </c>
      <c r="D1593" s="15" t="s">
        <v>1599</v>
      </c>
      <c r="E1593" s="9">
        <v>112.5</v>
      </c>
      <c r="F1593" s="9"/>
      <c r="G1593" s="13"/>
      <c r="H1593" s="14" t="str">
        <f>HYPERLINK("https://pulti.ua/tv/universalnii-pult-huayu-dlja-sharp-rm-l1238")</f>
        <v>https://pulti.ua/tv/universalnii-pult-huayu-dlja-sharp-rm-l1238</v>
      </c>
    </row>
    <row r="1594" spans="1:8" s="18" customFormat="1" ht="15" customHeight="1">
      <c r="A1594" s="39">
        <v>4129</v>
      </c>
      <c r="B1594" s="26" t="s">
        <v>1684</v>
      </c>
      <c r="C1594" s="13" t="s">
        <v>1245</v>
      </c>
      <c r="D1594" s="14"/>
      <c r="E1594" s="9">
        <v>84.4</v>
      </c>
      <c r="F1594" s="9">
        <f>D1594*E1594</f>
        <v>0</v>
      </c>
      <c r="G1594" s="13"/>
      <c r="H1594" s="14" t="str">
        <f>HYPERLINK("https://pulti.ua/tv/universalnyiy-pult-huayu-dlya-sharp-rm-l1346")</f>
        <v>https://pulti.ua/tv/universalnyiy-pult-huayu-dlya-sharp-rm-l1346</v>
      </c>
    </row>
    <row r="1595" spans="1:8" s="18" customFormat="1" ht="15" customHeight="1">
      <c r="A1595" s="39">
        <v>4782</v>
      </c>
      <c r="B1595" s="26" t="s">
        <v>1250</v>
      </c>
      <c r="C1595" s="13" t="s">
        <v>1245</v>
      </c>
      <c r="D1595" s="14"/>
      <c r="E1595" s="9">
        <v>108.8</v>
      </c>
      <c r="F1595" s="9">
        <f>D1595*E1595</f>
        <v>0</v>
      </c>
      <c r="G1595" s="13"/>
      <c r="H1595" s="14" t="str">
        <f>HYPERLINK("https://pulti.ua/tv/universalnyiy-pult-huayu-dlya-sharp-rm-l1678")</f>
        <v>https://pulti.ua/tv/universalnyiy-pult-huayu-dlya-sharp-rm-l1678</v>
      </c>
    </row>
    <row r="1596" spans="1:8" s="18" customFormat="1" ht="15" customHeight="1">
      <c r="A1596" s="39">
        <v>4404</v>
      </c>
      <c r="B1596" s="26" t="s">
        <v>1685</v>
      </c>
      <c r="C1596" s="13" t="s">
        <v>14</v>
      </c>
      <c r="D1596" s="15" t="s">
        <v>1314</v>
      </c>
      <c r="E1596" s="9">
        <v>105</v>
      </c>
      <c r="F1596" s="9"/>
      <c r="G1596" s="13"/>
      <c r="H1596" s="14" t="str">
        <f>HYPERLINK("https://pulti.ua/tv/universalnyiy-pult-huayu-rm-l1359")</f>
        <v>https://pulti.ua/tv/universalnyiy-pult-huayu-rm-l1359</v>
      </c>
    </row>
    <row r="1597" spans="1:8" s="18" customFormat="1" ht="15" customHeight="1">
      <c r="A1597" s="39">
        <v>4472</v>
      </c>
      <c r="B1597" s="26" t="s">
        <v>1686</v>
      </c>
      <c r="C1597" s="13" t="s">
        <v>14</v>
      </c>
      <c r="D1597" s="14"/>
      <c r="E1597" s="9">
        <v>78.8</v>
      </c>
      <c r="F1597" s="9">
        <f aca="true" t="shared" si="51" ref="F1597:F1607">D1597*E1597</f>
        <v>0</v>
      </c>
      <c r="G1597" s="13"/>
      <c r="H1597" s="14" t="str">
        <f>HYPERLINK("https://pulti.ua/universalnie-pulti/universalnyiy-pult-huayu-dlya-skyworth-rm-l1592")</f>
        <v>https://pulti.ua/universalnie-pulti/universalnyiy-pult-huayu-dlya-skyworth-rm-l1592</v>
      </c>
    </row>
    <row r="1598" spans="1:8" s="18" customFormat="1" ht="15" customHeight="1">
      <c r="A1598" s="39">
        <v>4799</v>
      </c>
      <c r="B1598" s="26" t="s">
        <v>1251</v>
      </c>
      <c r="C1598" s="13" t="s">
        <v>14</v>
      </c>
      <c r="D1598" s="14"/>
      <c r="E1598" s="9">
        <v>108.8</v>
      </c>
      <c r="F1598" s="9">
        <f t="shared" si="51"/>
        <v>0</v>
      </c>
      <c r="G1598" s="13"/>
      <c r="H1598" s="14" t="str">
        <f>HYPERLINK("https://pulti.ua/tv/universalnyiy-pult-huayu-dlya-skyworth-rm-l1659")</f>
        <v>https://pulti.ua/tv/universalnyiy-pult-huayu-dlya-skyworth-rm-l1659</v>
      </c>
    </row>
    <row r="1599" spans="1:8" s="18" customFormat="1" ht="15" customHeight="1">
      <c r="A1599" s="39">
        <v>3738</v>
      </c>
      <c r="B1599" s="26" t="s">
        <v>1687</v>
      </c>
      <c r="C1599" s="13" t="s">
        <v>14</v>
      </c>
      <c r="D1599" s="14"/>
      <c r="E1599" s="9">
        <v>78.8</v>
      </c>
      <c r="F1599" s="9">
        <f t="shared" si="51"/>
        <v>0</v>
      </c>
      <c r="G1599" s="13"/>
      <c r="H1599" s="14" t="str">
        <f>HYPERLINK("https://pulti.ua/universalnie-pulti/pult-dlja-sony-rm-1025a-universalnii-huayu")</f>
        <v>https://pulti.ua/universalnie-pulti/pult-dlja-sony-rm-1025a-universalnii-huayu</v>
      </c>
    </row>
    <row r="1600" spans="1:8" s="18" customFormat="1" ht="15" customHeight="1">
      <c r="A1600" s="39">
        <v>2011</v>
      </c>
      <c r="B1600" s="26" t="s">
        <v>1688</v>
      </c>
      <c r="C1600" s="13" t="s">
        <v>11</v>
      </c>
      <c r="D1600" s="14"/>
      <c r="E1600" s="9">
        <v>97.5</v>
      </c>
      <c r="F1600" s="9">
        <f t="shared" si="51"/>
        <v>0</v>
      </c>
      <c r="G1600" s="13"/>
      <c r="H1600" s="14" t="str">
        <f>HYPERLINK("https://pulti.ua/universalnie-pulti/pult-dlja-sony-rm-191a-universalnii--huayu")</f>
        <v>https://pulti.ua/universalnie-pulti/pult-dlja-sony-rm-191a-universalnii--huayu</v>
      </c>
    </row>
    <row r="1601" spans="1:8" s="18" customFormat="1" ht="15" customHeight="1">
      <c r="A1601" s="39">
        <v>2013</v>
      </c>
      <c r="B1601" s="26" t="s">
        <v>1689</v>
      </c>
      <c r="C1601" s="13" t="s">
        <v>22</v>
      </c>
      <c r="D1601" s="14"/>
      <c r="E1601" s="9">
        <v>84.4</v>
      </c>
      <c r="F1601" s="9">
        <f t="shared" si="51"/>
        <v>0</v>
      </c>
      <c r="G1601" s="13"/>
      <c r="H1601" s="14" t="str">
        <f>HYPERLINK("https://pulti.ua/universalnie-pulti/pult-dlja-sony-rm-715a-universalnii-huayu")</f>
        <v>https://pulti.ua/universalnie-pulti/pult-dlja-sony-rm-715a-universalnii-huayu</v>
      </c>
    </row>
    <row r="1602" spans="1:8" s="18" customFormat="1" ht="15" customHeight="1">
      <c r="A1602" s="39">
        <v>3639</v>
      </c>
      <c r="B1602" s="26" t="s">
        <v>1690</v>
      </c>
      <c r="C1602" s="13"/>
      <c r="D1602" s="14"/>
      <c r="E1602" s="9">
        <v>131.3</v>
      </c>
      <c r="F1602" s="9">
        <f t="shared" si="51"/>
        <v>0</v>
      </c>
      <c r="G1602" s="13"/>
      <c r="H1602" s="14" t="str">
        <f>HYPERLINK("https://pulti.ua/universalnie-pulti/pult-dlja-sony-rm-d1065-universalnii-huayu")</f>
        <v>https://pulti.ua/universalnie-pulti/pult-dlja-sony-rm-d1065-universalnii-huayu</v>
      </c>
    </row>
    <row r="1603" spans="1:8" s="18" customFormat="1" ht="15" customHeight="1">
      <c r="A1603" s="39">
        <v>2014</v>
      </c>
      <c r="B1603" s="26" t="s">
        <v>1691</v>
      </c>
      <c r="C1603" s="13" t="s">
        <v>14</v>
      </c>
      <c r="D1603" s="14"/>
      <c r="E1603" s="9">
        <v>82.5</v>
      </c>
      <c r="F1603" s="9">
        <f t="shared" si="51"/>
        <v>0</v>
      </c>
      <c r="G1603" s="13"/>
      <c r="H1603" s="14" t="str">
        <f>HYPERLINK("https://pulti.ua/universalnie-pulti/pult-dlja-sony-rm-959d-universalnii-huayu")</f>
        <v>https://pulti.ua/universalnie-pulti/pult-dlja-sony-rm-959d-universalnii-huayu</v>
      </c>
    </row>
    <row r="1604" spans="1:8" s="18" customFormat="1" ht="15" customHeight="1">
      <c r="A1604" s="39">
        <v>3640</v>
      </c>
      <c r="B1604" s="26" t="s">
        <v>1692</v>
      </c>
      <c r="C1604" s="13" t="s">
        <v>14</v>
      </c>
      <c r="D1604" s="14"/>
      <c r="E1604" s="9">
        <v>105</v>
      </c>
      <c r="F1604" s="9">
        <f t="shared" si="51"/>
        <v>0</v>
      </c>
      <c r="G1604" s="13"/>
      <c r="H1604" s="14" t="str">
        <f>HYPERLINK("https://pulti.ua/universalnie-pulti/pult-dlja-sony-rm-d998-3d-universalnii-huayu")</f>
        <v>https://pulti.ua/universalnie-pulti/pult-dlja-sony-rm-d998-3d-universalnii-huayu</v>
      </c>
    </row>
    <row r="1605" spans="1:8" s="18" customFormat="1" ht="15" customHeight="1">
      <c r="A1605" s="39">
        <v>3641</v>
      </c>
      <c r="B1605" s="26" t="s">
        <v>1693</v>
      </c>
      <c r="C1605" s="13" t="s">
        <v>14</v>
      </c>
      <c r="D1605" s="14"/>
      <c r="E1605" s="9">
        <v>90</v>
      </c>
      <c r="F1605" s="9">
        <f t="shared" si="51"/>
        <v>0</v>
      </c>
      <c r="G1605" s="13"/>
      <c r="H1605" s="14" t="str">
        <f>HYPERLINK("https://pulti.ua/universalnie-pulti/pult-dlja-sony-rm-l1165-3d-universalnii-huayu")</f>
        <v>https://pulti.ua/universalnie-pulti/pult-dlja-sony-rm-l1165-3d-universalnii-huayu</v>
      </c>
    </row>
    <row r="1606" spans="1:8" s="18" customFormat="1" ht="15" customHeight="1">
      <c r="A1606" s="39">
        <v>3924</v>
      </c>
      <c r="B1606" s="26" t="s">
        <v>1694</v>
      </c>
      <c r="C1606" s="13" t="s">
        <v>14</v>
      </c>
      <c r="D1606" s="14"/>
      <c r="E1606" s="9">
        <v>75</v>
      </c>
      <c r="F1606" s="9">
        <f t="shared" si="51"/>
        <v>0</v>
      </c>
      <c r="G1606" s="13"/>
      <c r="H1606" s="14" t="str">
        <f>HYPERLINK("https://pulti.ua/universalnie-pulti/universalnii-pult-huayu-dlja-sony-rm-l1185")</f>
        <v>https://pulti.ua/universalnie-pulti/universalnii-pult-huayu-dlja-sony-rm-l1185</v>
      </c>
    </row>
    <row r="1607" spans="1:8" s="18" customFormat="1" ht="15" customHeight="1">
      <c r="A1607" s="39">
        <v>3915</v>
      </c>
      <c r="B1607" s="26" t="s">
        <v>1695</v>
      </c>
      <c r="C1607" s="13" t="s">
        <v>14</v>
      </c>
      <c r="D1607" s="14"/>
      <c r="E1607" s="9">
        <v>91.9</v>
      </c>
      <c r="F1607" s="9">
        <f t="shared" si="51"/>
        <v>0</v>
      </c>
      <c r="G1607" s="13"/>
      <c r="H1607" s="14" t="str">
        <f>HYPERLINK("https://pulti.ua/universalnie-pulti/universalnii-pult-huayu-dlja-sony-rm-l1275")</f>
        <v>https://pulti.ua/universalnie-pulti/universalnii-pult-huayu-dlja-sony-rm-l1275</v>
      </c>
    </row>
    <row r="1608" spans="1:8" s="18" customFormat="1" ht="15" customHeight="1">
      <c r="A1608" s="39">
        <v>4454</v>
      </c>
      <c r="B1608" s="26" t="s">
        <v>1696</v>
      </c>
      <c r="C1608" s="13" t="s">
        <v>14</v>
      </c>
      <c r="D1608" s="15" t="s">
        <v>1314</v>
      </c>
      <c r="E1608" s="9">
        <v>78.8</v>
      </c>
      <c r="F1608" s="9"/>
      <c r="G1608" s="13"/>
      <c r="H1608" s="14" t="str">
        <f>HYPERLINK("https://pulti.ua/tv/universalnyiy-pult-huayu-dlya-sony-rm-l1351")</f>
        <v>https://pulti.ua/tv/universalnyiy-pult-huayu-dlya-sony-rm-l1351</v>
      </c>
    </row>
    <row r="1609" spans="1:8" s="18" customFormat="1" ht="15" customHeight="1">
      <c r="A1609" s="39">
        <v>4453</v>
      </c>
      <c r="B1609" s="26" t="s">
        <v>1697</v>
      </c>
      <c r="C1609" s="13" t="s">
        <v>14</v>
      </c>
      <c r="D1609" s="14"/>
      <c r="E1609" s="9">
        <v>90</v>
      </c>
      <c r="F1609" s="9">
        <f>D1609*E1609</f>
        <v>0</v>
      </c>
      <c r="G1609" s="13"/>
      <c r="H1609" s="14" t="str">
        <f>HYPERLINK("https://pulti.ua/universalnie-pulti/universalnyiy-pult-huayu-dlya-sony-rm-l1370")</f>
        <v>https://pulti.ua/universalnie-pulti/universalnyiy-pult-huayu-dlya-sony-rm-l1370</v>
      </c>
    </row>
    <row r="1610" spans="1:8" s="18" customFormat="1" ht="15" customHeight="1">
      <c r="A1610" s="39">
        <v>4798</v>
      </c>
      <c r="B1610" s="26" t="s">
        <v>1698</v>
      </c>
      <c r="C1610" s="13" t="s">
        <v>14</v>
      </c>
      <c r="D1610" s="14"/>
      <c r="E1610" s="9">
        <v>112.5</v>
      </c>
      <c r="F1610" s="9">
        <f>D1610*E1610</f>
        <v>0</v>
      </c>
      <c r="G1610" s="13"/>
      <c r="H1610" s="14" t="str">
        <f>HYPERLINK("https://pulti.ua/tv/universalnyiy-pult-huayu-dlya-sony-rm-l1675")</f>
        <v>https://pulti.ua/tv/universalnyiy-pult-huayu-dlya-sony-rm-l1675</v>
      </c>
    </row>
    <row r="1611" spans="1:8" s="18" customFormat="1" ht="15" customHeight="1">
      <c r="A1611" s="39">
        <v>3603</v>
      </c>
      <c r="B1611" s="26" t="s">
        <v>1699</v>
      </c>
      <c r="C1611" s="13" t="s">
        <v>14</v>
      </c>
      <c r="D1611" s="14"/>
      <c r="E1611" s="9">
        <v>93.8</v>
      </c>
      <c r="F1611" s="9">
        <f>D1611*E1611</f>
        <v>0</v>
      </c>
      <c r="G1611" s="13"/>
      <c r="H1611" s="14" t="str">
        <f>HYPERLINK("https://pulti.ua/universalnie-pulti/pult-dlja-supra-rm-l1042--universalnii-p-box--huayu")</f>
        <v>https://pulti.ua/universalnie-pulti/pult-dlja-supra-rm-l1042--universalnii-p-box--huayu</v>
      </c>
    </row>
    <row r="1612" spans="1:8" s="18" customFormat="1" ht="15" customHeight="1">
      <c r="A1612" s="39">
        <v>2409</v>
      </c>
      <c r="B1612" s="26" t="s">
        <v>1700</v>
      </c>
      <c r="C1612" s="13" t="s">
        <v>22</v>
      </c>
      <c r="D1612" s="15" t="s">
        <v>1314</v>
      </c>
      <c r="E1612" s="9">
        <v>78.8</v>
      </c>
      <c r="F1612" s="9"/>
      <c r="G1612" s="13"/>
      <c r="H1612" s="14" t="str">
        <f>HYPERLINK("https://pulti.ua/universalnie-pulti/pult-dlja-tcl-rm-l1018-universalnii-huayu-8-kodov")</f>
        <v>https://pulti.ua/universalnie-pulti/pult-dlja-tcl-rm-l1018-universalnii-huayu-8-kodov</v>
      </c>
    </row>
    <row r="1613" spans="1:8" s="18" customFormat="1" ht="15" customHeight="1">
      <c r="A1613" s="46">
        <v>4851</v>
      </c>
      <c r="B1613" s="47" t="s">
        <v>1701</v>
      </c>
      <c r="C1613" s="13" t="s">
        <v>14</v>
      </c>
      <c r="D1613" s="14"/>
      <c r="E1613" s="9">
        <v>88.1</v>
      </c>
      <c r="F1613" s="9">
        <f aca="true" t="shared" si="52" ref="F1613:F1630">D1613*E1613</f>
        <v>0</v>
      </c>
      <c r="G1613" s="13"/>
      <c r="H1613" s="14" t="str">
        <f>HYPERLINK("https://pulti.ua/tv/universalnyj-pult-huayu-dlya-tcl-rm-l1508")</f>
        <v>https://pulti.ua/tv/universalnyj-pult-huayu-dlya-tcl-rm-l1508</v>
      </c>
    </row>
    <row r="1614" spans="1:8" s="18" customFormat="1" ht="15" customHeight="1">
      <c r="A1614" s="39">
        <v>2072</v>
      </c>
      <c r="B1614" s="26" t="s">
        <v>1702</v>
      </c>
      <c r="C1614" s="13" t="s">
        <v>11</v>
      </c>
      <c r="D1614" s="14"/>
      <c r="E1614" s="9">
        <v>67.5</v>
      </c>
      <c r="F1614" s="9">
        <f t="shared" si="52"/>
        <v>0</v>
      </c>
      <c r="G1614" s="13"/>
      <c r="H1614" s="14" t="str">
        <f>HYPERLINK("https://pulti.ua/universalnie-pulti/pult-dlja-thomson-rm-549t-universalnii-huayu")</f>
        <v>https://pulti.ua/universalnie-pulti/pult-dlja-thomson-rm-549t-universalnii-huayu</v>
      </c>
    </row>
    <row r="1615" spans="1:8" s="18" customFormat="1" ht="15" customHeight="1">
      <c r="A1615" s="39">
        <v>3634</v>
      </c>
      <c r="B1615" s="26" t="s">
        <v>1703</v>
      </c>
      <c r="C1615" s="13" t="s">
        <v>11</v>
      </c>
      <c r="D1615" s="14"/>
      <c r="E1615" s="9">
        <v>120</v>
      </c>
      <c r="F1615" s="9">
        <f t="shared" si="52"/>
        <v>0</v>
      </c>
      <c r="G1615" s="13"/>
      <c r="H1615" s="14" t="str">
        <f>HYPERLINK("https://pulti.ua/universalnie-pulti/pult-dlja-thomson-rm-d811-universalnii-v-blistere--huayu--ic")</f>
        <v>https://pulti.ua/universalnie-pulti/pult-dlja-thomson-rm-d811-universalnii-v-blistere--huayu--ic</v>
      </c>
    </row>
    <row r="1616" spans="1:8" s="18" customFormat="1" ht="15" customHeight="1">
      <c r="A1616" s="39">
        <v>4125</v>
      </c>
      <c r="B1616" s="26" t="s">
        <v>1704</v>
      </c>
      <c r="C1616" s="13" t="s">
        <v>14</v>
      </c>
      <c r="D1616" s="14"/>
      <c r="E1616" s="9">
        <v>112.5</v>
      </c>
      <c r="F1616" s="9">
        <f t="shared" si="52"/>
        <v>0</v>
      </c>
      <c r="G1616" s="13"/>
      <c r="H1616" s="14" t="str">
        <f>HYPERLINK("https://pulti.ua/tv/universalnyiy-pult-huayu-dlya-thomson-rm-l1330")</f>
        <v>https://pulti.ua/tv/universalnyiy-pult-huayu-dlya-thomson-rm-l1330</v>
      </c>
    </row>
    <row r="1617" spans="1:8" s="18" customFormat="1" ht="15" customHeight="1">
      <c r="A1617" s="39">
        <v>2115</v>
      </c>
      <c r="B1617" s="26" t="s">
        <v>1705</v>
      </c>
      <c r="C1617" s="13" t="s">
        <v>11</v>
      </c>
      <c r="D1617" s="14"/>
      <c r="E1617" s="9">
        <v>61.9</v>
      </c>
      <c r="F1617" s="9">
        <f t="shared" si="52"/>
        <v>0</v>
      </c>
      <c r="G1617" s="13"/>
      <c r="H1617" s="14" t="str">
        <f>HYPERLINK("https://pulti.ua/universalnie-pulti/pult-dlja-toshiba-rm-162v-universalnii-huayu")</f>
        <v>https://pulti.ua/universalnie-pulti/pult-dlja-toshiba-rm-162v-universalnii-huayu</v>
      </c>
    </row>
    <row r="1618" spans="1:8" s="18" customFormat="1" ht="15" customHeight="1">
      <c r="A1618" s="39">
        <v>2116</v>
      </c>
      <c r="B1618" s="26" t="s">
        <v>1706</v>
      </c>
      <c r="C1618" s="13" t="s">
        <v>22</v>
      </c>
      <c r="D1618" s="14"/>
      <c r="E1618" s="9">
        <v>105</v>
      </c>
      <c r="F1618" s="9">
        <f t="shared" si="52"/>
        <v>0</v>
      </c>
      <c r="G1618" s="13"/>
      <c r="H1618" s="14" t="str">
        <f>HYPERLINK("https://pulti.ua/universalnie-pulti/pult-dlja-toshiba-rm-d602-universalnii-huayu")</f>
        <v>https://pulti.ua/universalnie-pulti/pult-dlja-toshiba-rm-d602-universalnii-huayu</v>
      </c>
    </row>
    <row r="1619" spans="1:8" s="18" customFormat="1" ht="15" customHeight="1">
      <c r="A1619" s="39">
        <v>3263</v>
      </c>
      <c r="B1619" s="26" t="s">
        <v>1707</v>
      </c>
      <c r="C1619" s="13" t="s">
        <v>14</v>
      </c>
      <c r="D1619" s="14"/>
      <c r="E1619" s="9">
        <v>120</v>
      </c>
      <c r="F1619" s="9">
        <f t="shared" si="52"/>
        <v>0</v>
      </c>
      <c r="G1619" s="13"/>
      <c r="H1619" s="14" t="str">
        <f>HYPERLINK("https://pulti.ua/universalnie-pulti/pult-dlja-toshiba-rm-l1028-universalnii-huayu")</f>
        <v>https://pulti.ua/universalnie-pulti/pult-dlja-toshiba-rm-l1028-universalnii-huayu</v>
      </c>
    </row>
    <row r="1620" spans="1:8" s="18" customFormat="1" ht="15" customHeight="1">
      <c r="A1620" s="39">
        <v>3916</v>
      </c>
      <c r="B1620" s="26" t="s">
        <v>1708</v>
      </c>
      <c r="C1620" s="13" t="s">
        <v>14</v>
      </c>
      <c r="D1620" s="14"/>
      <c r="E1620" s="9">
        <v>93.8</v>
      </c>
      <c r="F1620" s="9">
        <f t="shared" si="52"/>
        <v>0</v>
      </c>
      <c r="G1620" s="13"/>
      <c r="H1620" s="14" t="str">
        <f>HYPERLINK("https://pulti.ua/universalnie-pulti/universalnii-pult-huayu-dlja-toshiba-rm-l1278")</f>
        <v>https://pulti.ua/universalnie-pulti/universalnii-pult-huayu-dlja-toshiba-rm-l1278</v>
      </c>
    </row>
    <row r="1621" spans="1:8" s="18" customFormat="1" ht="15" customHeight="1">
      <c r="A1621" s="39">
        <v>4142</v>
      </c>
      <c r="B1621" s="26" t="s">
        <v>1709</v>
      </c>
      <c r="C1621" s="13" t="s">
        <v>14</v>
      </c>
      <c r="D1621" s="14"/>
      <c r="E1621" s="9">
        <v>105</v>
      </c>
      <c r="F1621" s="9">
        <f t="shared" si="52"/>
        <v>0</v>
      </c>
      <c r="G1621" s="13"/>
      <c r="H1621" s="14" t="str">
        <f>HYPERLINK("https://pulti.ua/universalnie-pulti/universalnyiy-pult-huayu-dlya-toshiba-rm-l1328")</f>
        <v>https://pulti.ua/universalnie-pulti/universalnyiy-pult-huayu-dlya-toshiba-rm-l1328</v>
      </c>
    </row>
    <row r="1622" spans="1:8" s="18" customFormat="1" ht="15" customHeight="1">
      <c r="A1622" s="39">
        <v>3917</v>
      </c>
      <c r="B1622" s="26" t="s">
        <v>1710</v>
      </c>
      <c r="C1622" s="13" t="s">
        <v>14</v>
      </c>
      <c r="D1622" s="14"/>
      <c r="E1622" s="9">
        <v>76.9</v>
      </c>
      <c r="F1622" s="9">
        <f t="shared" si="52"/>
        <v>0</v>
      </c>
      <c r="G1622" s="13"/>
      <c r="H1622" s="14" t="str">
        <f>HYPERLINK("https://pulti.ua/universalnie-pulti/universalnii-pult-huayu-dlja-toshiba-rm-l890plus")</f>
        <v>https://pulti.ua/universalnie-pulti/universalnii-pult-huayu-dlja-toshiba-rm-l890plus</v>
      </c>
    </row>
    <row r="1623" spans="1:8" s="18" customFormat="1" ht="15" customHeight="1">
      <c r="A1623" s="46">
        <v>4853</v>
      </c>
      <c r="B1623" s="47" t="s">
        <v>1711</v>
      </c>
      <c r="C1623" s="13" t="s">
        <v>14</v>
      </c>
      <c r="D1623" s="14"/>
      <c r="E1623" s="9">
        <v>97.5</v>
      </c>
      <c r="F1623" s="9">
        <f t="shared" si="52"/>
        <v>0</v>
      </c>
      <c r="G1623" s="13"/>
      <c r="H1623" s="14" t="str">
        <f>HYPERLINK("https://pulti.ua/tv/universalnyj-pult-huayu-dlya-xiaomi-ir-tv-rm-s1")</f>
        <v>https://pulti.ua/tv/universalnyj-pult-huayu-dlya-xiaomi-ir-tv-rm-s1</v>
      </c>
    </row>
    <row r="1624" spans="1:8" s="18" customFormat="1" ht="15" customHeight="1">
      <c r="A1624" s="39">
        <v>3972</v>
      </c>
      <c r="B1624" s="26" t="s">
        <v>1712</v>
      </c>
      <c r="C1624" s="13" t="s">
        <v>965</v>
      </c>
      <c r="D1624" s="14"/>
      <c r="E1624" s="9">
        <v>150</v>
      </c>
      <c r="F1624" s="9">
        <f t="shared" si="52"/>
        <v>0</v>
      </c>
      <c r="G1624" s="13"/>
      <c r="H1624" s="14" t="str">
        <f>HYPERLINK("https://pulti.ua/mediapleery/universalnii-huayu-dlja-zala-iptv-4-in-1-hob988")</f>
        <v>https://pulti.ua/mediapleery/universalnii-huayu-dlja-zala-iptv-4-in-1-hob988</v>
      </c>
    </row>
    <row r="1625" spans="1:8" s="18" customFormat="1" ht="15" customHeight="1">
      <c r="A1625" s="39">
        <v>2626</v>
      </c>
      <c r="B1625" s="26" t="s">
        <v>1713</v>
      </c>
      <c r="C1625" s="13" t="s">
        <v>11</v>
      </c>
      <c r="D1625" s="14"/>
      <c r="E1625" s="9">
        <v>82.5</v>
      </c>
      <c r="F1625" s="9">
        <f t="shared" si="52"/>
        <v>0</v>
      </c>
      <c r="G1625" s="13"/>
      <c r="H1625" s="14" t="str">
        <f>HYPERLINK("https://pulti.ua/universalnie-pulti/pult-dlja-horizont-gorizont-rm-588c-universalnii-huayu")</f>
        <v>https://pulti.ua/universalnie-pulti/pult-dlja-horizont-gorizont-rm-588c-universalnii-huayu</v>
      </c>
    </row>
    <row r="1626" spans="1:8" s="18" customFormat="1" ht="15" customHeight="1">
      <c r="A1626" s="39">
        <v>3880</v>
      </c>
      <c r="B1626" s="26" t="s">
        <v>1714</v>
      </c>
      <c r="C1626" s="13" t="s">
        <v>905</v>
      </c>
      <c r="D1626" s="14"/>
      <c r="E1626" s="9">
        <v>60</v>
      </c>
      <c r="F1626" s="9">
        <f t="shared" si="52"/>
        <v>0</v>
      </c>
      <c r="G1626" s="13"/>
      <c r="H1626" s="14" t="str">
        <f>HYPERLINK("https://pulti.ua/universalnie-pulti/universalnii-ihandy-aun0442plus")</f>
        <v>https://pulti.ua/universalnie-pulti/universalnii-ihandy-aun0442plus</v>
      </c>
    </row>
    <row r="1627" spans="1:8" s="18" customFormat="1" ht="15" customHeight="1">
      <c r="A1627" s="11">
        <v>2645</v>
      </c>
      <c r="B1627" s="12" t="s">
        <v>1715</v>
      </c>
      <c r="C1627" s="13" t="s">
        <v>1086</v>
      </c>
      <c r="D1627" s="14"/>
      <c r="E1627" s="9">
        <v>187.5</v>
      </c>
      <c r="F1627" s="9">
        <f t="shared" si="52"/>
        <v>0</v>
      </c>
      <c r="G1627" s="13"/>
      <c r="H1627" s="14" t="str">
        <f>HYPERLINK("https://pulti.ua/universalnie-pulti/pult-universalnii-zip-500-dvd-elmak-originalnii")</f>
        <v>https://pulti.ua/universalnie-pulti/pult-universalnii-zip-500-dvd-elmak-originalnii</v>
      </c>
    </row>
    <row r="1628" spans="1:8" s="18" customFormat="1" ht="15" customHeight="1">
      <c r="A1628" s="11">
        <v>4147</v>
      </c>
      <c r="B1628" s="12" t="s">
        <v>1716</v>
      </c>
      <c r="C1628" s="13" t="s">
        <v>1240</v>
      </c>
      <c r="D1628" s="14"/>
      <c r="E1628" s="9">
        <v>82.5</v>
      </c>
      <c r="F1628" s="9">
        <f t="shared" si="52"/>
        <v>0</v>
      </c>
      <c r="G1628" s="13"/>
      <c r="H1628" s="14" t="str">
        <f>HYPERLINK("https://pulti.ua/universalnie-pulti/universalnyiy-pult-markus-8-in-1-originalnyiy")</f>
        <v>https://pulti.ua/universalnie-pulti/universalnyiy-pult-markus-8-in-1-originalnyiy</v>
      </c>
    </row>
    <row r="1629" spans="1:8" s="18" customFormat="1" ht="15" customHeight="1">
      <c r="A1629" s="11">
        <v>2638</v>
      </c>
      <c r="B1629" s="12" t="s">
        <v>1717</v>
      </c>
      <c r="C1629" s="13" t="s">
        <v>1240</v>
      </c>
      <c r="D1629" s="14"/>
      <c r="E1629" s="9">
        <v>82.5</v>
      </c>
      <c r="F1629" s="9">
        <f t="shared" si="52"/>
        <v>0</v>
      </c>
      <c r="G1629" s="13"/>
      <c r="H1629" s="14" t="str">
        <f>HYPERLINK("https://pulti.ua/universalnie-pulti/pult-universalnii-dlja-penguin-rm-09rus-mini")</f>
        <v>https://pulti.ua/universalnie-pulti/pult-universalnii-dlja-penguin-rm-09rus-mini</v>
      </c>
    </row>
    <row r="1630" spans="1:8" s="18" customFormat="1" ht="15" customHeight="1">
      <c r="A1630" s="39">
        <v>4527</v>
      </c>
      <c r="B1630" s="26" t="s">
        <v>1718</v>
      </c>
      <c r="C1630" s="13" t="s">
        <v>14</v>
      </c>
      <c r="D1630" s="14"/>
      <c r="E1630" s="9">
        <v>570</v>
      </c>
      <c r="F1630" s="9">
        <f t="shared" si="52"/>
        <v>0</v>
      </c>
      <c r="G1630" s="13"/>
      <c r="H1630" s="14" t="str">
        <f>HYPERLINK("https://pulti.ua/tv/universalnyiy-pult-rm-g1800v1-dlya-samsung-smart-tv-s-mikrofonom")</f>
        <v>https://pulti.ua/tv/universalnyiy-pult-rm-g1800v1-dlya-samsung-smart-tv-s-mikrofonom</v>
      </c>
    </row>
    <row r="1631" spans="1:8" s="18" customFormat="1" ht="15" customHeight="1">
      <c r="A1631" s="39">
        <v>4882</v>
      </c>
      <c r="B1631" s="26" t="s">
        <v>1719</v>
      </c>
      <c r="C1631" s="13" t="s">
        <v>14</v>
      </c>
      <c r="D1631" s="15" t="s">
        <v>1349</v>
      </c>
      <c r="E1631" s="9"/>
      <c r="F1631" s="9"/>
      <c r="G1631" s="13"/>
      <c r="H1631" s="14"/>
    </row>
    <row r="1632" spans="1:8" s="18" customFormat="1" ht="15" customHeight="1">
      <c r="A1632" s="11">
        <v>2784</v>
      </c>
      <c r="B1632" s="12" t="s">
        <v>1720</v>
      </c>
      <c r="C1632" s="13" t="s">
        <v>1240</v>
      </c>
      <c r="D1632" s="14"/>
      <c r="E1632" s="9">
        <v>52.5</v>
      </c>
      <c r="F1632" s="9">
        <f>D1632*E1632</f>
        <v>0</v>
      </c>
      <c r="G1632" s="13"/>
      <c r="H1632" s="14" t="str">
        <f>HYPERLINK("https://pulti.ua/universalnie-i-programmiruemie-pulti/universalnie-pulty/universalnyj-pult-rm-v202-4in1")</f>
        <v>https://pulti.ua/universalnie-i-programmiruemie-pulti/universalnie-pulty/universalnyj-pult-rm-v202-4in1</v>
      </c>
    </row>
    <row r="1633" spans="1:8" s="18" customFormat="1" ht="15" customHeight="1">
      <c r="A1633" s="39">
        <v>4883</v>
      </c>
      <c r="B1633" s="26" t="s">
        <v>1721</v>
      </c>
      <c r="C1633" s="13" t="s">
        <v>14</v>
      </c>
      <c r="D1633" s="15" t="s">
        <v>1338</v>
      </c>
      <c r="E1633" s="9"/>
      <c r="F1633" s="9"/>
      <c r="G1633" s="13"/>
      <c r="H1633" s="14"/>
    </row>
    <row r="1634" spans="1:8" s="18" customFormat="1" ht="15" customHeight="1">
      <c r="A1634" s="46">
        <v>4856</v>
      </c>
      <c r="B1634" s="47" t="s">
        <v>1722</v>
      </c>
      <c r="C1634" s="13" t="s">
        <v>14</v>
      </c>
      <c r="D1634" s="14"/>
      <c r="E1634" s="9">
        <v>431.3</v>
      </c>
      <c r="F1634" s="9">
        <f aca="true" t="shared" si="53" ref="F1634:F1653">D1634*E1634</f>
        <v>0</v>
      </c>
      <c r="G1634" s="13"/>
      <c r="H1634" s="14" t="str">
        <f>HYPERLINK("https://pulti.ua/tv/universalnyj-pult-dlya-changhong-chg-v1-w-smart")</f>
        <v>https://pulti.ua/tv/universalnyj-pult-dlya-changhong-chg-v1-w-smart</v>
      </c>
    </row>
    <row r="1635" spans="1:8" s="18" customFormat="1" ht="15" customHeight="1">
      <c r="A1635" s="46">
        <v>4857</v>
      </c>
      <c r="B1635" s="47" t="s">
        <v>1723</v>
      </c>
      <c r="C1635" s="13" t="s">
        <v>14</v>
      </c>
      <c r="D1635" s="14"/>
      <c r="E1635" s="9">
        <v>431.3</v>
      </c>
      <c r="F1635" s="9">
        <f t="shared" si="53"/>
        <v>0</v>
      </c>
      <c r="G1635" s="13"/>
      <c r="H1635" s="14"/>
    </row>
    <row r="1636" spans="1:8" s="18" customFormat="1" ht="15" customHeight="1">
      <c r="A1636" s="11">
        <v>4801</v>
      </c>
      <c r="B1636" s="12" t="s">
        <v>1724</v>
      </c>
      <c r="C1636" s="13" t="s">
        <v>14</v>
      </c>
      <c r="D1636" s="14"/>
      <c r="E1636" s="9">
        <v>525</v>
      </c>
      <c r="F1636" s="9">
        <f t="shared" si="53"/>
        <v>0</v>
      </c>
      <c r="G1636" s="13"/>
      <c r="H1636" s="14" t="str">
        <f>HYPERLINK("https://pulti.ua/tv/universalnyiy-pult-dlya-haier-bauhn-he-v1-smart")</f>
        <v>https://pulti.ua/tv/universalnyiy-pult-dlya-haier-bauhn-he-v1-smart</v>
      </c>
    </row>
    <row r="1637" spans="1:8" s="18" customFormat="1" ht="15" customHeight="1">
      <c r="A1637" s="11">
        <v>1279</v>
      </c>
      <c r="B1637" s="12" t="s">
        <v>1725</v>
      </c>
      <c r="C1637" s="13" t="s">
        <v>11</v>
      </c>
      <c r="D1637" s="14"/>
      <c r="E1637" s="9">
        <v>53.3</v>
      </c>
      <c r="F1637" s="9">
        <f t="shared" si="53"/>
        <v>0</v>
      </c>
      <c r="G1637" s="13"/>
      <c r="H1637" s="14" t="str">
        <f>HYPERLINK("https://pulti.ua/universalnie-pulti/pult-dlja-jvc-rm-c530f-universalnii")</f>
        <v>https://pulti.ua/universalnie-pulti/pult-dlja-jvc-rm-c530f-universalnii</v>
      </c>
    </row>
    <row r="1638" spans="1:8" s="18" customFormat="1" ht="15" customHeight="1">
      <c r="A1638" s="11">
        <v>1391</v>
      </c>
      <c r="B1638" s="12" t="s">
        <v>1726</v>
      </c>
      <c r="C1638" s="13" t="s">
        <v>11</v>
      </c>
      <c r="D1638" s="14"/>
      <c r="E1638" s="9">
        <v>52.5</v>
      </c>
      <c r="F1638" s="9">
        <f t="shared" si="53"/>
        <v>0</v>
      </c>
      <c r="G1638" s="13"/>
      <c r="H1638" s="14" t="str">
        <f>HYPERLINK("https://pulti.ua/universalnie-pulti/pult-dlja-lg-rm-609cb-universalnii-2-koda")</f>
        <v>https://pulti.ua/universalnie-pulti/pult-dlja-lg-rm-609cb-universalnii-2-koda</v>
      </c>
    </row>
    <row r="1639" spans="1:8" s="18" customFormat="1" ht="15" customHeight="1">
      <c r="A1639" s="11">
        <v>4314</v>
      </c>
      <c r="B1639" s="12" t="s">
        <v>1727</v>
      </c>
      <c r="C1639" s="13" t="s">
        <v>14</v>
      </c>
      <c r="D1639" s="14"/>
      <c r="E1639" s="9">
        <v>60</v>
      </c>
      <c r="F1639" s="9">
        <f t="shared" si="53"/>
        <v>0</v>
      </c>
      <c r="G1639" s="13"/>
      <c r="H1639" s="14" t="str">
        <f>HYPERLINK("https://pulti.ua/tv/universalnyj-pult-dlya-lg-rm-l1162")</f>
        <v>https://pulti.ua/tv/universalnyj-pult-dlya-lg-rm-l1162</v>
      </c>
    </row>
    <row r="1640" spans="1:8" s="18" customFormat="1" ht="15" customHeight="1">
      <c r="A1640" s="44">
        <v>4840</v>
      </c>
      <c r="B1640" s="45" t="s">
        <v>1728</v>
      </c>
      <c r="C1640" s="13" t="s">
        <v>14</v>
      </c>
      <c r="D1640" s="14"/>
      <c r="E1640" s="9">
        <v>468.8</v>
      </c>
      <c r="F1640" s="9">
        <f t="shared" si="53"/>
        <v>0</v>
      </c>
      <c r="G1640" s="13"/>
      <c r="H1640" s="14" t="str">
        <f>HYPERLINK("https://pulti.ua/tv/universalnyy-pult-dlya-panasonic-pn-v1-smart")</f>
        <v>https://pulti.ua/tv/universalnyy-pult-dlya-panasonic-pn-v1-smart</v>
      </c>
    </row>
    <row r="1641" spans="1:8" s="18" customFormat="1" ht="15" customHeight="1">
      <c r="A1641" s="44">
        <v>4841</v>
      </c>
      <c r="B1641" s="45" t="s">
        <v>1729</v>
      </c>
      <c r="C1641" s="13" t="s">
        <v>14</v>
      </c>
      <c r="D1641" s="14"/>
      <c r="E1641" s="9">
        <v>468.8</v>
      </c>
      <c r="F1641" s="9">
        <f t="shared" si="53"/>
        <v>0</v>
      </c>
      <c r="G1641" s="13"/>
      <c r="H1641" s="14" t="str">
        <f>HYPERLINK("https://pulti.ua/tv/universalnyy-pult-dlya-panasonic-pn-v2-smart")</f>
        <v>https://pulti.ua/tv/universalnyy-pult-dlya-panasonic-pn-v2-smart</v>
      </c>
    </row>
    <row r="1642" spans="1:8" s="18" customFormat="1" ht="15" customHeight="1">
      <c r="A1642" s="11">
        <v>1526</v>
      </c>
      <c r="B1642" s="12" t="s">
        <v>1730</v>
      </c>
      <c r="C1642" s="13" t="s">
        <v>22</v>
      </c>
      <c r="D1642" s="14"/>
      <c r="E1642" s="9">
        <v>93.8</v>
      </c>
      <c r="F1642" s="9">
        <f t="shared" si="53"/>
        <v>0</v>
      </c>
      <c r="G1642" s="13"/>
      <c r="H1642" s="14" t="str">
        <f>HYPERLINK("https://pulti.ua/tv/pult-dlja-panasonic-rm-520-universalniircm")</f>
        <v>https://pulti.ua/tv/pult-dlja-panasonic-rm-520-universalniircm</v>
      </c>
    </row>
    <row r="1643" spans="1:8" s="18" customFormat="1" ht="15" customHeight="1">
      <c r="A1643" s="11">
        <v>4817</v>
      </c>
      <c r="B1643" s="12" t="s">
        <v>1731</v>
      </c>
      <c r="C1643" s="13" t="s">
        <v>14</v>
      </c>
      <c r="D1643" s="14"/>
      <c r="E1643" s="9">
        <v>525</v>
      </c>
      <c r="F1643" s="9">
        <f t="shared" si="53"/>
        <v>0</v>
      </c>
      <c r="G1643" s="13"/>
      <c r="H1643" s="14" t="str">
        <f>HYPERLINK("https://pulti.ua/tv/universalnyiy-pult-dlya-philips-ph-v1-smart")</f>
        <v>https://pulti.ua/tv/universalnyiy-pult-dlya-philips-ph-v1-smart</v>
      </c>
    </row>
    <row r="1644" spans="1:8" s="18" customFormat="1" ht="15" customHeight="1">
      <c r="A1644" s="11">
        <v>3628</v>
      </c>
      <c r="B1644" s="12" t="s">
        <v>1732</v>
      </c>
      <c r="C1644" s="13" t="s">
        <v>11</v>
      </c>
      <c r="D1644" s="14"/>
      <c r="E1644" s="9">
        <v>69.4</v>
      </c>
      <c r="F1644" s="9">
        <f t="shared" si="53"/>
        <v>0</v>
      </c>
      <c r="G1644" s="13"/>
      <c r="H1644" s="14" t="str">
        <f>HYPERLINK("https://pulti.ua/universalnie-pulti/pult-dlja-philips-rm-120c-universalnii-rcm")</f>
        <v>https://pulti.ua/universalnie-pulti/pult-dlja-philips-rm-120c-universalnii-rcm</v>
      </c>
    </row>
    <row r="1645" spans="1:8" s="18" customFormat="1" ht="15" customHeight="1">
      <c r="A1645" s="11">
        <v>1828</v>
      </c>
      <c r="B1645" s="12" t="s">
        <v>1733</v>
      </c>
      <c r="C1645" s="13" t="s">
        <v>11</v>
      </c>
      <c r="D1645" s="14"/>
      <c r="E1645" s="9">
        <v>60</v>
      </c>
      <c r="F1645" s="9">
        <f t="shared" si="53"/>
        <v>0</v>
      </c>
      <c r="G1645" s="13"/>
      <c r="H1645" s="14" t="str">
        <f>HYPERLINK("https://pulti.ua/universalnie-pulti/pult-dlja-samsung-rm-179f-universalnii")</f>
        <v>https://pulti.ua/universalnie-pulti/pult-dlja-samsung-rm-179f-universalnii</v>
      </c>
    </row>
    <row r="1646" spans="1:8" s="18" customFormat="1" ht="15" customHeight="1">
      <c r="A1646" s="11">
        <v>4779</v>
      </c>
      <c r="B1646" s="12" t="s">
        <v>1734</v>
      </c>
      <c r="C1646" s="13" t="s">
        <v>14</v>
      </c>
      <c r="D1646" s="14"/>
      <c r="E1646" s="9">
        <v>525</v>
      </c>
      <c r="F1646" s="9">
        <f t="shared" si="53"/>
        <v>0</v>
      </c>
      <c r="G1646" s="13"/>
      <c r="H1646" s="14" t="str">
        <f>HYPERLINK("https://pulti.ua/tv/universalnyiy-pult-dlya-samsung-rm-g2100-v1")</f>
        <v>https://pulti.ua/tv/universalnyiy-pult-dlya-samsung-rm-g2100-v1</v>
      </c>
    </row>
    <row r="1647" spans="1:8" s="18" customFormat="1" ht="15" customHeight="1">
      <c r="A1647" s="11">
        <v>4315</v>
      </c>
      <c r="B1647" s="12" t="s">
        <v>1735</v>
      </c>
      <c r="C1647" s="13" t="s">
        <v>14</v>
      </c>
      <c r="D1647" s="14"/>
      <c r="E1647" s="9">
        <v>61.9</v>
      </c>
      <c r="F1647" s="9">
        <f t="shared" si="53"/>
        <v>0</v>
      </c>
      <c r="G1647" s="13"/>
      <c r="H1647" s="14" t="str">
        <f>HYPERLINK("https://pulti.ua/universalnie-pulti/universalnyj-pult-dlya-samsung-rm-l1088")</f>
        <v>https://pulti.ua/universalnie-pulti/universalnyj-pult-dlya-samsung-rm-l1088</v>
      </c>
    </row>
    <row r="1648" spans="1:8" s="18" customFormat="1" ht="15" customHeight="1">
      <c r="A1648" s="44">
        <v>4842</v>
      </c>
      <c r="B1648" s="45" t="s">
        <v>1736</v>
      </c>
      <c r="C1648" s="13" t="s">
        <v>14</v>
      </c>
      <c r="D1648" s="14"/>
      <c r="E1648" s="9">
        <v>487.5</v>
      </c>
      <c r="F1648" s="9">
        <f t="shared" si="53"/>
        <v>0</v>
      </c>
      <c r="G1648" s="13"/>
      <c r="H1648" s="14" t="str">
        <f>HYPERLINK("https://pulti.ua/tv/universalnyy-pult-dlya-sharp-sh-v1-smart")</f>
        <v>https://pulti.ua/tv/universalnyy-pult-dlya-sharp-sh-v1-smart</v>
      </c>
    </row>
    <row r="1649" spans="1:8" s="18" customFormat="1" ht="15" customHeight="1">
      <c r="A1649" s="11">
        <v>4803</v>
      </c>
      <c r="B1649" s="12" t="s">
        <v>1737</v>
      </c>
      <c r="C1649" s="13" t="s">
        <v>14</v>
      </c>
      <c r="D1649" s="14"/>
      <c r="E1649" s="9">
        <v>525</v>
      </c>
      <c r="F1649" s="9">
        <f t="shared" si="53"/>
        <v>0</v>
      </c>
      <c r="G1649" s="13"/>
      <c r="H1649" s="14" t="str">
        <f>HYPERLINK("https://pulti.ua/tv/universalnyiy-pult-dlya-skyworth-sw-v1-smart")</f>
        <v>https://pulti.ua/tv/universalnyiy-pult-dlya-skyworth-sw-v1-smart</v>
      </c>
    </row>
    <row r="1650" spans="1:8" s="18" customFormat="1" ht="15" customHeight="1">
      <c r="A1650" s="11">
        <v>4802</v>
      </c>
      <c r="B1650" s="12" t="s">
        <v>1738</v>
      </c>
      <c r="C1650" s="13" t="s">
        <v>14</v>
      </c>
      <c r="D1650" s="14"/>
      <c r="E1650" s="9">
        <v>450</v>
      </c>
      <c r="F1650" s="9">
        <f t="shared" si="53"/>
        <v>0</v>
      </c>
      <c r="G1650" s="13"/>
      <c r="H1650" s="14" t="str">
        <f>HYPERLINK("https://pulti.ua/tv/universalnyiy-pult-dlya-tcl-rc901vfar1-smart")</f>
        <v>https://pulti.ua/tv/universalnyiy-pult-dlya-tcl-rc901vfar1-smart</v>
      </c>
    </row>
    <row r="1651" spans="1:8" s="18" customFormat="1" ht="15" customHeight="1">
      <c r="A1651" s="11">
        <v>4800</v>
      </c>
      <c r="B1651" s="12" t="s">
        <v>1739</v>
      </c>
      <c r="C1651" s="13" t="s">
        <v>14</v>
      </c>
      <c r="D1651" s="14"/>
      <c r="E1651" s="9">
        <v>525</v>
      </c>
      <c r="F1651" s="9">
        <f t="shared" si="53"/>
        <v>0</v>
      </c>
      <c r="G1651" s="13"/>
      <c r="H1651" s="14" t="str">
        <f>HYPERLINK("https://pulti.ua/tv/universalnyiy-pult-dlya-thomson-th-v1-smart")</f>
        <v>https://pulti.ua/tv/universalnyiy-pult-dlya-thomson-th-v1-smart</v>
      </c>
    </row>
    <row r="1652" spans="1:8" s="18" customFormat="1" ht="15" customHeight="1">
      <c r="A1652" s="11">
        <v>4804</v>
      </c>
      <c r="B1652" s="12" t="s">
        <v>1740</v>
      </c>
      <c r="C1652" s="13" t="s">
        <v>14</v>
      </c>
      <c r="D1652" s="14"/>
      <c r="E1652" s="9">
        <v>525</v>
      </c>
      <c r="F1652" s="9">
        <f t="shared" si="53"/>
        <v>0</v>
      </c>
      <c r="G1652" s="13"/>
      <c r="H1652" s="14" t="str">
        <f>HYPERLINK("https://pulti.ua/tv/universalnyiy-pult-dlya-vestel-vs-v1-smart")</f>
        <v>https://pulti.ua/tv/universalnyiy-pult-dlya-vestel-vs-v1-smart</v>
      </c>
    </row>
    <row r="1653" spans="1:8" s="18" customFormat="1" ht="15" customHeight="1">
      <c r="A1653" s="39">
        <v>1021</v>
      </c>
      <c r="B1653" s="26" t="s">
        <v>1252</v>
      </c>
      <c r="C1653" s="13" t="s">
        <v>11</v>
      </c>
      <c r="D1653" s="14"/>
      <c r="E1653" s="9">
        <v>67.5</v>
      </c>
      <c r="F1653" s="9">
        <f t="shared" si="53"/>
        <v>0</v>
      </c>
      <c r="G1653" s="13"/>
      <c r="H1653" s="14" t="str">
        <f>HYPERLINK("https://pulti.ua/universalnie-pulti/pult-dlja-akai-rm-081f-universalnii-huayu-8-kodov")</f>
        <v>https://pulti.ua/universalnie-pulti/pult-dlja-akai-rm-081f-universalnii-huayu-8-kodov</v>
      </c>
    </row>
    <row r="1654" spans="1:8" s="18" customFormat="1" ht="15" customHeight="1">
      <c r="A1654" s="14"/>
      <c r="B1654" s="16" t="s">
        <v>1253</v>
      </c>
      <c r="C1654" s="14"/>
      <c r="D1654" s="14"/>
      <c r="E1654" s="9"/>
      <c r="F1654" s="9"/>
      <c r="G1654" s="13"/>
      <c r="H1654" s="14"/>
    </row>
    <row r="1655" spans="1:8" s="18" customFormat="1" ht="15" customHeight="1">
      <c r="A1655" s="11">
        <v>3142</v>
      </c>
      <c r="B1655" s="12" t="s">
        <v>1741</v>
      </c>
      <c r="C1655" s="13" t="s">
        <v>1254</v>
      </c>
      <c r="D1655" s="14"/>
      <c r="E1655" s="9">
        <v>206.3</v>
      </c>
      <c r="F1655" s="9">
        <f aca="true" t="shared" si="54" ref="F1655:F1662">D1655*E1655</f>
        <v>0</v>
      </c>
      <c r="G1655" s="13"/>
      <c r="H1655" s="14" t="str">
        <f>HYPERLINK("https://pulti.ua/proshivaemie-usb-pulti/pult-dlja-changer-usb-4-in-1-hr-54b-proshivaemii")</f>
        <v>https://pulti.ua/proshivaemie-usb-pulti/pult-dlja-changer-usb-4-in-1-hr-54b-proshivaemii</v>
      </c>
    </row>
    <row r="1656" spans="1:8" s="18" customFormat="1" ht="15" customHeight="1">
      <c r="A1656" s="11">
        <v>3928</v>
      </c>
      <c r="B1656" s="12" t="s">
        <v>1742</v>
      </c>
      <c r="C1656" s="13" t="s">
        <v>1254</v>
      </c>
      <c r="D1656" s="14"/>
      <c r="E1656" s="9">
        <v>217.5</v>
      </c>
      <c r="F1656" s="9">
        <f t="shared" si="54"/>
        <v>0</v>
      </c>
      <c r="G1656" s="13"/>
      <c r="H1656" s="14" t="str">
        <f>HYPERLINK("https://pulti.ua/proshivaemie-usb-pulti/programmiruemii-pult-changer-usb-hifi-mini-dvd")</f>
        <v>https://pulti.ua/proshivaemie-usb-pulti/programmiruemii-pult-changer-usb-hifi-mini-dvd</v>
      </c>
    </row>
    <row r="1657" spans="1:8" s="18" customFormat="1" ht="15" customHeight="1">
      <c r="A1657" s="11">
        <v>3931</v>
      </c>
      <c r="B1657" s="12" t="s">
        <v>1743</v>
      </c>
      <c r="C1657" s="13" t="s">
        <v>1254</v>
      </c>
      <c r="D1657" s="14"/>
      <c r="E1657" s="9">
        <v>195</v>
      </c>
      <c r="F1657" s="9">
        <f t="shared" si="54"/>
        <v>0</v>
      </c>
      <c r="G1657" s="13"/>
      <c r="H1657" s="14" t="str">
        <f>HYPERLINK("https://pulti.ua/proshivaemie-usb-pulti/programmiruemii-pult-changer-usb-lm-u009-4-in-1-dtt")</f>
        <v>https://pulti.ua/proshivaemie-usb-pulti/programmiruemii-pult-changer-usb-lm-u009-4-in-1-dtt</v>
      </c>
    </row>
    <row r="1658" spans="1:8" s="18" customFormat="1" ht="15" customHeight="1">
      <c r="A1658" s="11">
        <v>3929</v>
      </c>
      <c r="B1658" s="12" t="s">
        <v>1744</v>
      </c>
      <c r="C1658" s="13" t="s">
        <v>1254</v>
      </c>
      <c r="D1658" s="14"/>
      <c r="E1658" s="9">
        <v>217.5</v>
      </c>
      <c r="F1658" s="9">
        <f t="shared" si="54"/>
        <v>0</v>
      </c>
      <c r="G1658" s="13"/>
      <c r="H1658" s="14" t="str">
        <f>HYPERLINK("https://pulti.ua/proshivaemie-usb-pulti/programmiruemii-pult-changer-usb-projector-mini-black")</f>
        <v>https://pulti.ua/proshivaemie-usb-pulti/programmiruemii-pult-changer-usb-projector-mini-black</v>
      </c>
    </row>
    <row r="1659" spans="1:8" s="18" customFormat="1" ht="15" customHeight="1">
      <c r="A1659" s="11">
        <v>3930</v>
      </c>
      <c r="B1659" s="12" t="s">
        <v>1745</v>
      </c>
      <c r="C1659" s="13" t="s">
        <v>1254</v>
      </c>
      <c r="D1659" s="14"/>
      <c r="E1659" s="9">
        <v>217.5</v>
      </c>
      <c r="F1659" s="9">
        <f t="shared" si="54"/>
        <v>0</v>
      </c>
      <c r="G1659" s="13"/>
      <c r="H1659" s="14" t="str">
        <f>HYPERLINK("https://pulti.ua/proshivaemie-usb-pulti/programmiruemii-pult-changer-usb-projector-mini-white")</f>
        <v>https://pulti.ua/proshivaemie-usb-pulti/programmiruemii-pult-changer-usb-projector-mini-white</v>
      </c>
    </row>
    <row r="1660" spans="1:8" s="18" customFormat="1" ht="15" customHeight="1">
      <c r="A1660" s="11">
        <v>3881</v>
      </c>
      <c r="B1660" s="12" t="s">
        <v>1746</v>
      </c>
      <c r="C1660" s="13" t="s">
        <v>1254</v>
      </c>
      <c r="D1660" s="14"/>
      <c r="E1660" s="9">
        <v>213.8</v>
      </c>
      <c r="F1660" s="9">
        <f t="shared" si="54"/>
        <v>0</v>
      </c>
      <c r="G1660" s="13"/>
      <c r="H1660" s="14" t="str">
        <f>HYPERLINK("https://pulti.ua/proshivaemie-usb-pulti/programmiruemii-pult-changer-usb-yx27-hotel")</f>
        <v>https://pulti.ua/proshivaemie-usb-pulti/programmiruemii-pult-changer-usb-yx27-hotel</v>
      </c>
    </row>
    <row r="1661" spans="1:8" s="18" customFormat="1" ht="15" customHeight="1">
      <c r="A1661" s="11">
        <v>4539</v>
      </c>
      <c r="B1661" s="12" t="s">
        <v>1747</v>
      </c>
      <c r="C1661" s="13" t="s">
        <v>1254</v>
      </c>
      <c r="D1661" s="14"/>
      <c r="E1661" s="9">
        <v>146.3</v>
      </c>
      <c r="F1661" s="9">
        <f t="shared" si="54"/>
        <v>0</v>
      </c>
      <c r="G1661" s="13"/>
      <c r="H1661" s="14" t="str">
        <f>HYPERLINK("https://pulti.ua/universalnie-i-programmiruemie-pulti/proshivaemie-usb-pulti/programmiruemyiy-pult-clr79815-e4-4in1")</f>
        <v>https://pulti.ua/universalnie-i-programmiruemie-pulti/proshivaemie-usb-pulti/programmiruemyiy-pult-clr79815-e4-4in1</v>
      </c>
    </row>
    <row r="1662" spans="1:8" s="18" customFormat="1" ht="15" customHeight="1">
      <c r="A1662" s="11">
        <v>4318</v>
      </c>
      <c r="B1662" s="12" t="s">
        <v>1748</v>
      </c>
      <c r="C1662" s="13" t="s">
        <v>1254</v>
      </c>
      <c r="D1662" s="14"/>
      <c r="E1662" s="9">
        <v>138.8</v>
      </c>
      <c r="F1662" s="9">
        <f t="shared" si="54"/>
        <v>0</v>
      </c>
      <c r="G1662" s="13"/>
      <c r="H1662" s="14" t="str">
        <f>HYPERLINK("https://pulti.ua/proshivaemie-usb-pulti/programmiruemyiy-pult-clr79843-e4-4in1")</f>
        <v>https://pulti.ua/proshivaemie-usb-pulti/programmiruemyiy-pult-clr79843-e4-4in1</v>
      </c>
    </row>
    <row r="1663" spans="1:8" s="18" customFormat="1" ht="15" customHeight="1">
      <c r="A1663" s="14"/>
      <c r="B1663" s="16" t="s">
        <v>1255</v>
      </c>
      <c r="C1663" s="14"/>
      <c r="D1663" s="14"/>
      <c r="E1663" s="9"/>
      <c r="F1663" s="9"/>
      <c r="G1663" s="13"/>
      <c r="H1663" s="14"/>
    </row>
    <row r="1664" spans="1:8" s="18" customFormat="1" ht="15" customHeight="1">
      <c r="A1664" s="11">
        <v>3304</v>
      </c>
      <c r="B1664" s="12" t="s">
        <v>1749</v>
      </c>
      <c r="C1664" s="13" t="s">
        <v>14</v>
      </c>
      <c r="D1664" s="14"/>
      <c r="E1664" s="9">
        <v>768.8</v>
      </c>
      <c r="F1664" s="9">
        <f aca="true" t="shared" si="55" ref="F1664:F1727">D1664*E1664</f>
        <v>0</v>
      </c>
      <c r="G1664" s="13"/>
      <c r="H1664" s="14" t="str">
        <f>HYPERLINK("https://pulti.ua/soputstvuyushie-tovari/klyuch-adapter-dongl-magic-motion-eat61673601-dlja-300-serii")</f>
        <v>https://pulti.ua/soputstvuyushie-tovari/klyuch-adapter-dongl-magic-motion-eat61673601-dlja-300-serii</v>
      </c>
    </row>
    <row r="1665" spans="1:8" s="18" customFormat="1" ht="15" customHeight="1">
      <c r="A1665" s="11">
        <v>4231</v>
      </c>
      <c r="B1665" s="12" t="s">
        <v>1750</v>
      </c>
      <c r="C1665" s="13" t="s">
        <v>11</v>
      </c>
      <c r="D1665" s="14"/>
      <c r="E1665" s="9">
        <v>187.5</v>
      </c>
      <c r="F1665" s="9">
        <f t="shared" si="55"/>
        <v>0</v>
      </c>
      <c r="G1665" s="13"/>
      <c r="H1665" s="14" t="str">
        <f>HYPERLINK("https://pulti.ua/tv/originalnyiy-pult-anderic-en2a27")</f>
        <v>https://pulti.ua/tv/originalnyiy-pult-anderic-en2a27</v>
      </c>
    </row>
    <row r="1666" spans="1:8" s="18" customFormat="1" ht="15" customHeight="1">
      <c r="A1666" s="11">
        <v>4224</v>
      </c>
      <c r="B1666" s="12" t="s">
        <v>1751</v>
      </c>
      <c r="C1666" s="13" t="s">
        <v>11</v>
      </c>
      <c r="D1666" s="14"/>
      <c r="E1666" s="9">
        <v>138.8</v>
      </c>
      <c r="F1666" s="9">
        <f t="shared" si="55"/>
        <v>0</v>
      </c>
      <c r="G1666" s="13"/>
      <c r="H1666" s="14" t="str">
        <f>HYPERLINK("https://pulti.ua/tv/originalnyiy-pult-aoc-398gr08beac01r")</f>
        <v>https://pulti.ua/tv/originalnyiy-pult-aoc-398gr08beac01r</v>
      </c>
    </row>
    <row r="1667" spans="1:8" s="18" customFormat="1" ht="15" customHeight="1">
      <c r="A1667" s="11">
        <v>4243</v>
      </c>
      <c r="B1667" s="12" t="s">
        <v>1752</v>
      </c>
      <c r="C1667" s="13" t="s">
        <v>11</v>
      </c>
      <c r="D1667" s="14"/>
      <c r="E1667" s="9">
        <v>138.8</v>
      </c>
      <c r="F1667" s="9">
        <f t="shared" si="55"/>
        <v>0</v>
      </c>
      <c r="G1667" s="13"/>
      <c r="H1667" s="14" t="str">
        <f>HYPERLINK("https://pulti.ua/tv/originalnyiy-pult-aoc-398grabd2neact")</f>
        <v>https://pulti.ua/tv/originalnyiy-pult-aoc-398grabd2neact</v>
      </c>
    </row>
    <row r="1668" spans="1:8" s="18" customFormat="1" ht="15" customHeight="1">
      <c r="A1668" s="11">
        <v>4229</v>
      </c>
      <c r="B1668" s="12" t="s">
        <v>1753</v>
      </c>
      <c r="C1668" s="13" t="s">
        <v>11</v>
      </c>
      <c r="D1668" s="14"/>
      <c r="E1668" s="9">
        <v>138.8</v>
      </c>
      <c r="F1668" s="9">
        <f t="shared" si="55"/>
        <v>0</v>
      </c>
      <c r="G1668" s="13"/>
      <c r="H1668" s="14" t="str">
        <f>HYPERLINK("https://pulti.ua/tv/originalnyiy-pult-aoc-398grabdgneacc")</f>
        <v>https://pulti.ua/tv/originalnyiy-pult-aoc-398grabdgneacc</v>
      </c>
    </row>
    <row r="1669" spans="1:8" s="18" customFormat="1" ht="15" customHeight="1">
      <c r="A1669" s="11">
        <v>3347</v>
      </c>
      <c r="B1669" s="12" t="s">
        <v>1754</v>
      </c>
      <c r="C1669" s="13" t="s">
        <v>1086</v>
      </c>
      <c r="D1669" s="14"/>
      <c r="E1669" s="9">
        <v>225</v>
      </c>
      <c r="F1669" s="9">
        <f t="shared" si="55"/>
        <v>0</v>
      </c>
      <c r="G1669" s="13"/>
      <c r="H1669" s="14" t="str">
        <f>HYPERLINK("https://pulti.ua/dvd-blueray/pult-bbk-dl373s-originalnii")</f>
        <v>https://pulti.ua/dvd-blueray/pult-bbk-dl373s-originalnii</v>
      </c>
    </row>
    <row r="1670" spans="1:8" s="18" customFormat="1" ht="15" customHeight="1">
      <c r="A1670" s="11">
        <v>3348</v>
      </c>
      <c r="B1670" s="12" t="s">
        <v>1755</v>
      </c>
      <c r="C1670" s="13" t="s">
        <v>1086</v>
      </c>
      <c r="D1670" s="14"/>
      <c r="E1670" s="9">
        <v>243.8</v>
      </c>
      <c r="F1670" s="9">
        <f t="shared" si="55"/>
        <v>0</v>
      </c>
      <c r="G1670" s="13"/>
      <c r="H1670" s="14" t="str">
        <f>HYPERLINK("https://pulti.ua/dvd-blueray/pult-bbk-dl383s-originalnii")</f>
        <v>https://pulti.ua/dvd-blueray/pult-bbk-dl383s-originalnii</v>
      </c>
    </row>
    <row r="1671" spans="1:8" s="18" customFormat="1" ht="15" customHeight="1">
      <c r="A1671" s="11">
        <v>1707</v>
      </c>
      <c r="B1671" s="12" t="s">
        <v>1756</v>
      </c>
      <c r="C1671" s="13" t="s">
        <v>1106</v>
      </c>
      <c r="D1671" s="14"/>
      <c r="E1671" s="9">
        <v>487.5</v>
      </c>
      <c r="F1671" s="9">
        <f t="shared" si="55"/>
        <v>0</v>
      </c>
      <c r="G1671" s="13"/>
      <c r="H1671" s="14" t="str">
        <f>HYPERLINK("https://pulti.ua/domashnie-kinoteatry/pult-bbk-fsw-081r-originalnii")</f>
        <v>https://pulti.ua/domashnie-kinoteatry/pult-bbk-fsw-081r-originalnii</v>
      </c>
    </row>
    <row r="1672" spans="1:8" s="18" customFormat="1" ht="15" customHeight="1">
      <c r="A1672" s="11">
        <v>3350</v>
      </c>
      <c r="B1672" s="12" t="s">
        <v>1757</v>
      </c>
      <c r="C1672" s="13" t="s">
        <v>1106</v>
      </c>
      <c r="D1672" s="14"/>
      <c r="E1672" s="9">
        <v>150</v>
      </c>
      <c r="F1672" s="9">
        <f t="shared" si="55"/>
        <v>0</v>
      </c>
      <c r="G1672" s="13"/>
      <c r="H1672" s="14" t="str">
        <f>HYPERLINK("https://pulti.ua/domashnie-kinoteatry/pult-bbk-pv300s-originalnii")</f>
        <v>https://pulti.ua/domashnie-kinoteatry/pult-bbk-pv300s-originalnii</v>
      </c>
    </row>
    <row r="1673" spans="1:8" s="18" customFormat="1" ht="15" customHeight="1">
      <c r="A1673" s="11">
        <v>1721</v>
      </c>
      <c r="B1673" s="12" t="s">
        <v>1758</v>
      </c>
      <c r="C1673" s="13" t="s">
        <v>1086</v>
      </c>
      <c r="D1673" s="14"/>
      <c r="E1673" s="9">
        <v>543.8</v>
      </c>
      <c r="F1673" s="9">
        <f t="shared" si="55"/>
        <v>0</v>
      </c>
      <c r="G1673" s="13"/>
      <c r="H1673" s="14" t="str">
        <f>HYPERLINK("https://pulti.ua/dvd-blueray/pult-bbk-rc022-03r-originalnii")</f>
        <v>https://pulti.ua/dvd-blueray/pult-bbk-rc022-03r-originalnii</v>
      </c>
    </row>
    <row r="1674" spans="1:8" s="18" customFormat="1" ht="15" customHeight="1">
      <c r="A1674" s="11">
        <v>1725</v>
      </c>
      <c r="B1674" s="12" t="s">
        <v>1759</v>
      </c>
      <c r="C1674" s="13" t="s">
        <v>1086</v>
      </c>
      <c r="D1674" s="14"/>
      <c r="E1674" s="9">
        <v>487.5</v>
      </c>
      <c r="F1674" s="9">
        <f t="shared" si="55"/>
        <v>0</v>
      </c>
      <c r="G1674" s="13"/>
      <c r="H1674" s="14" t="str">
        <f>HYPERLINK("https://pulti.ua/dvd-blueray/pult-bbk-rc026-10r-originalnii")</f>
        <v>https://pulti.ua/dvd-blueray/pult-bbk-rc026-10r-originalnii</v>
      </c>
    </row>
    <row r="1675" spans="1:8" s="18" customFormat="1" ht="15" customHeight="1">
      <c r="A1675" s="11">
        <v>4754</v>
      </c>
      <c r="B1675" s="12" t="s">
        <v>1760</v>
      </c>
      <c r="C1675" s="13" t="s">
        <v>11</v>
      </c>
      <c r="D1675" s="14"/>
      <c r="E1675" s="9"/>
      <c r="F1675" s="9"/>
      <c r="G1675" s="13"/>
      <c r="H1675" s="14"/>
    </row>
    <row r="1676" spans="1:8" s="18" customFormat="1" ht="15" customHeight="1">
      <c r="A1676" s="11">
        <v>4755</v>
      </c>
      <c r="B1676" s="12" t="s">
        <v>1761</v>
      </c>
      <c r="C1676" s="13" t="s">
        <v>11</v>
      </c>
      <c r="D1676" s="14"/>
      <c r="E1676" s="9"/>
      <c r="F1676" s="9"/>
      <c r="G1676" s="13"/>
      <c r="H1676" s="14"/>
    </row>
    <row r="1677" spans="1:8" s="18" customFormat="1" ht="15" customHeight="1">
      <c r="A1677" s="11">
        <v>3368</v>
      </c>
      <c r="B1677" s="12" t="s">
        <v>1762</v>
      </c>
      <c r="C1677" s="13" t="s">
        <v>1106</v>
      </c>
      <c r="D1677" s="14"/>
      <c r="E1677" s="9">
        <v>213.8</v>
      </c>
      <c r="F1677" s="9">
        <f t="shared" si="55"/>
        <v>0</v>
      </c>
      <c r="G1677" s="13"/>
      <c r="H1677" s="14" t="str">
        <f>HYPERLINK("https://pulti.ua/domashnie-kinoteatry/pult-panasonic-yefx9992663--originalnii")</f>
        <v>https://pulti.ua/domashnie-kinoteatry/pult-panasonic-yefx9992663--originalnii</v>
      </c>
    </row>
    <row r="1678" spans="1:8" s="18" customFormat="1" ht="15" customHeight="1">
      <c r="A1678" s="11">
        <v>3617</v>
      </c>
      <c r="B1678" s="12" t="s">
        <v>1763</v>
      </c>
      <c r="C1678" s="13" t="s">
        <v>1106</v>
      </c>
      <c r="D1678" s="14"/>
      <c r="E1678" s="9">
        <v>262.5</v>
      </c>
      <c r="F1678" s="9">
        <f t="shared" si="55"/>
        <v>0</v>
      </c>
      <c r="G1678" s="13"/>
      <c r="H1678" s="14" t="str">
        <f>HYPERLINK("https://pulti.ua/avtomobilnie/pult-supra-sdd-3001-originalnii")</f>
        <v>https://pulti.ua/avtomobilnie/pult-supra-sdd-3001-originalnii</v>
      </c>
    </row>
    <row r="1679" spans="1:8" s="18" customFormat="1" ht="15" customHeight="1">
      <c r="A1679" s="11">
        <v>2814</v>
      </c>
      <c r="B1679" s="12" t="s">
        <v>1764</v>
      </c>
      <c r="C1679" s="13" t="s">
        <v>11</v>
      </c>
      <c r="D1679" s="14"/>
      <c r="E1679" s="9">
        <v>198.8</v>
      </c>
      <c r="F1679" s="9">
        <f t="shared" si="55"/>
        <v>0</v>
      </c>
      <c r="G1679" s="13"/>
      <c r="H1679" s="14" t="str">
        <f>HYPERLINK("https://pulti.ua/tv/pult-changhong-k16c-c1-originalnii")</f>
        <v>https://pulti.ua/tv/pult-changhong-k16c-c1-originalnii</v>
      </c>
    </row>
    <row r="1680" spans="1:8" s="18" customFormat="1" ht="15" customHeight="1">
      <c r="A1680" s="11">
        <v>1148</v>
      </c>
      <c r="B1680" s="12" t="s">
        <v>1765</v>
      </c>
      <c r="C1680" s="13" t="s">
        <v>11</v>
      </c>
      <c r="D1680" s="14"/>
      <c r="E1680" s="9">
        <v>236.3</v>
      </c>
      <c r="F1680" s="9">
        <f t="shared" si="55"/>
        <v>0</v>
      </c>
      <c r="G1680" s="13"/>
      <c r="H1680" s="14" t="str">
        <f>HYPERLINK("https://pulti.ua/tv/pult-daewoo-r-40a06-originalnii")</f>
        <v>https://pulti.ua/tv/pult-daewoo-r-40a06-originalnii</v>
      </c>
    </row>
    <row r="1681" spans="1:8" s="18" customFormat="1" ht="15" customHeight="1">
      <c r="A1681" s="11">
        <v>4729</v>
      </c>
      <c r="B1681" s="12" t="s">
        <v>1766</v>
      </c>
      <c r="C1681" s="13" t="s">
        <v>1095</v>
      </c>
      <c r="D1681" s="14"/>
      <c r="E1681" s="9"/>
      <c r="F1681" s="9"/>
      <c r="G1681" s="13"/>
      <c r="H1681" s="14"/>
    </row>
    <row r="1682" spans="1:8" s="18" customFormat="1" ht="15" customHeight="1">
      <c r="A1682" s="11">
        <v>4520</v>
      </c>
      <c r="B1682" s="12" t="s">
        <v>1767</v>
      </c>
      <c r="C1682" s="13" t="s">
        <v>14</v>
      </c>
      <c r="D1682" s="14"/>
      <c r="E1682" s="9">
        <v>337.5</v>
      </c>
      <c r="F1682" s="9">
        <f t="shared" si="55"/>
        <v>0</v>
      </c>
      <c r="G1682" s="13"/>
      <c r="H1682" s="14" t="str">
        <f>HYPERLINK("https://pulti.ua/tv/originalnyiy-pult-dexp-34018478")</f>
        <v>https://pulti.ua/tv/originalnyiy-pult-dexp-34018478</v>
      </c>
    </row>
    <row r="1683" spans="1:8" s="18" customFormat="1" ht="15" customHeight="1">
      <c r="A1683" s="11">
        <v>4516</v>
      </c>
      <c r="B1683" s="12" t="s">
        <v>1768</v>
      </c>
      <c r="C1683" s="13" t="s">
        <v>14</v>
      </c>
      <c r="D1683" s="14"/>
      <c r="E1683" s="9">
        <v>337.5</v>
      </c>
      <c r="F1683" s="9">
        <f t="shared" si="55"/>
        <v>0</v>
      </c>
      <c r="G1683" s="13"/>
      <c r="H1683" s="14" t="str">
        <f>HYPERLINK("https://pulti.ua/tv/originalnyiy-pult-dexp-34019641")</f>
        <v>https://pulti.ua/tv/originalnyiy-pult-dexp-34019641</v>
      </c>
    </row>
    <row r="1684" spans="1:8" s="18" customFormat="1" ht="15" customHeight="1">
      <c r="A1684" s="11">
        <v>4517</v>
      </c>
      <c r="B1684" s="12" t="s">
        <v>1769</v>
      </c>
      <c r="C1684" s="13" t="s">
        <v>14</v>
      </c>
      <c r="D1684" s="14"/>
      <c r="E1684" s="9">
        <v>337.5</v>
      </c>
      <c r="F1684" s="9">
        <f t="shared" si="55"/>
        <v>0</v>
      </c>
      <c r="G1684" s="13"/>
      <c r="H1684" s="14" t="str">
        <f>HYPERLINK("https://pulti.ua/tv/originalnyiy-pult-dexp-cx509-dtv")</f>
        <v>https://pulti.ua/tv/originalnyiy-pult-dexp-cx509-dtv</v>
      </c>
    </row>
    <row r="1685" spans="1:8" s="18" customFormat="1" ht="15" customHeight="1">
      <c r="A1685" s="11">
        <v>3178</v>
      </c>
      <c r="B1685" s="12" t="s">
        <v>1770</v>
      </c>
      <c r="C1685" s="13" t="s">
        <v>905</v>
      </c>
      <c r="D1685" s="14"/>
      <c r="E1685" s="9">
        <v>217.5</v>
      </c>
      <c r="F1685" s="9">
        <f t="shared" si="55"/>
        <v>0</v>
      </c>
      <c r="G1685" s="13"/>
      <c r="H1685" s="14" t="str">
        <f>HYPERLINK("https://pulti.ua/tyunera/pult-dream-box-dm-500s--originalnii")</f>
        <v>https://pulti.ua/tyunera/pult-dream-box-dm-500s--originalnii</v>
      </c>
    </row>
    <row r="1686" spans="1:8" s="18" customFormat="1" ht="15" customHeight="1">
      <c r="A1686" s="11">
        <v>4821</v>
      </c>
      <c r="B1686" s="12" t="s">
        <v>1260</v>
      </c>
      <c r="C1686" s="13" t="s">
        <v>14</v>
      </c>
      <c r="D1686" s="14"/>
      <c r="E1686" s="9">
        <v>123.8</v>
      </c>
      <c r="F1686" s="9">
        <f t="shared" si="55"/>
        <v>0</v>
      </c>
      <c r="G1686" s="13"/>
      <c r="H1686" s="14" t="str">
        <f>HYPERLINK("https://pulti.ua/tv/originalniy-pult-elenberg-32bh400")</f>
        <v>https://pulti.ua/tv/originalniy-pult-elenberg-32bh400</v>
      </c>
    </row>
    <row r="1687" spans="1:8" s="18" customFormat="1" ht="15" customHeight="1">
      <c r="A1687" s="11">
        <v>4422</v>
      </c>
      <c r="B1687" s="12" t="s">
        <v>1771</v>
      </c>
      <c r="C1687" s="13" t="s">
        <v>14</v>
      </c>
      <c r="D1687" s="14"/>
      <c r="E1687" s="9">
        <v>206.3</v>
      </c>
      <c r="F1687" s="9">
        <f t="shared" si="55"/>
        <v>0</v>
      </c>
      <c r="G1687" s="13"/>
      <c r="H1687" s="14" t="str">
        <f>HYPERLINK("https://pulti.ua/tv/originalnyiy-pult-ergo-le40ct5030ak")</f>
        <v>https://pulti.ua/tv/originalnyiy-pult-ergo-le40ct5030ak</v>
      </c>
    </row>
    <row r="1688" spans="1:8" s="18" customFormat="1" ht="15" customHeight="1">
      <c r="A1688" s="11">
        <v>4824</v>
      </c>
      <c r="B1688" s="12" t="s">
        <v>1772</v>
      </c>
      <c r="C1688" s="13" t="s">
        <v>14</v>
      </c>
      <c r="D1688" s="14"/>
      <c r="E1688" s="9">
        <v>123.8</v>
      </c>
      <c r="F1688" s="9">
        <f t="shared" si="55"/>
        <v>0</v>
      </c>
      <c r="G1688" s="13"/>
      <c r="H1688" s="14" t="str">
        <f>HYPERLINK("https://pulti.ua/tv/originalnyy-pult-ergo-le43cu6530ak")</f>
        <v>https://pulti.ua/tv/originalnyy-pult-ergo-le43cu6530ak</v>
      </c>
    </row>
    <row r="1689" spans="1:8" s="18" customFormat="1" ht="15" customHeight="1">
      <c r="A1689" s="11">
        <v>4518</v>
      </c>
      <c r="B1689" s="12" t="s">
        <v>1773</v>
      </c>
      <c r="C1689" s="13" t="s">
        <v>14</v>
      </c>
      <c r="D1689" s="14"/>
      <c r="E1689" s="9">
        <v>337.5</v>
      </c>
      <c r="F1689" s="9">
        <f t="shared" si="55"/>
        <v>0</v>
      </c>
      <c r="G1689" s="13"/>
      <c r="H1689" s="14" t="str">
        <f>HYPERLINK("https://pulti.ua/tv/originalnyiy-pult-haier-htr-a10")</f>
        <v>https://pulti.ua/tv/originalnyiy-pult-haier-htr-a10</v>
      </c>
    </row>
    <row r="1690" spans="1:8" s="18" customFormat="1" ht="15" customHeight="1">
      <c r="A1690" s="11">
        <v>2984</v>
      </c>
      <c r="B1690" s="12" t="s">
        <v>1774</v>
      </c>
      <c r="C1690" s="13" t="s">
        <v>11</v>
      </c>
      <c r="D1690" s="14"/>
      <c r="E1690" s="9">
        <v>206.3</v>
      </c>
      <c r="F1690" s="9">
        <f t="shared" si="55"/>
        <v>0</v>
      </c>
      <c r="G1690" s="13"/>
      <c r="H1690" s="14" t="str">
        <f>HYPERLINK("https://pulti.ua/tv/pult-haier-htr-d06a-originalnii")</f>
        <v>https://pulti.ua/tv/pult-haier-htr-d06a-originalnii</v>
      </c>
    </row>
    <row r="1691" spans="1:8" s="18" customFormat="1" ht="15" customHeight="1">
      <c r="A1691" s="11">
        <v>4253</v>
      </c>
      <c r="B1691" s="12" t="s">
        <v>1775</v>
      </c>
      <c r="C1691" s="13" t="s">
        <v>11</v>
      </c>
      <c r="D1691" s="14"/>
      <c r="E1691" s="9">
        <v>138.8</v>
      </c>
      <c r="F1691" s="9">
        <f t="shared" si="55"/>
        <v>0</v>
      </c>
      <c r="G1691" s="13"/>
      <c r="H1691" s="14" t="str">
        <f>HYPERLINK("https://pulti.ua/tv/originalnyiy-pult-haier-rc20")</f>
        <v>https://pulti.ua/tv/originalnyiy-pult-haier-rc20</v>
      </c>
    </row>
    <row r="1692" spans="1:8" s="18" customFormat="1" ht="15" customHeight="1">
      <c r="A1692" s="11">
        <v>4874</v>
      </c>
      <c r="B1692" s="12" t="s">
        <v>1776</v>
      </c>
      <c r="C1692" s="13" t="s">
        <v>14</v>
      </c>
      <c r="D1692" s="14"/>
      <c r="E1692" s="9"/>
      <c r="F1692" s="9"/>
      <c r="G1692" s="13"/>
      <c r="H1692" s="14" t="str">
        <f>HYPERLINK("https://pulti.ua/tv/originalnyj-pult-hilton-2100-edr0hilt")</f>
        <v>https://pulti.ua/tv/originalnyj-pult-hilton-2100-edr0hilt</v>
      </c>
    </row>
    <row r="1693" spans="1:8" s="18" customFormat="1" ht="15" customHeight="1">
      <c r="A1693" s="11">
        <v>2988</v>
      </c>
      <c r="B1693" s="12" t="s">
        <v>1777</v>
      </c>
      <c r="C1693" s="13" t="s">
        <v>22</v>
      </c>
      <c r="D1693" s="14"/>
      <c r="E1693" s="9">
        <v>558.8</v>
      </c>
      <c r="F1693" s="9">
        <f t="shared" si="55"/>
        <v>0</v>
      </c>
      <c r="G1693" s="13"/>
      <c r="H1693" s="14" t="str">
        <f>HYPERLINK("https://pulti.ua/tv/pult-hitachi-cle-995-originalnii")</f>
        <v>https://pulti.ua/tv/pult-hitachi-cle-995-originalnii</v>
      </c>
    </row>
    <row r="1694" spans="1:8" s="18" customFormat="1" ht="15" customHeight="1">
      <c r="A1694" s="11">
        <v>3297</v>
      </c>
      <c r="B1694" s="12" t="s">
        <v>1778</v>
      </c>
      <c r="C1694" s="13" t="s">
        <v>22</v>
      </c>
      <c r="D1694" s="14"/>
      <c r="E1694" s="9">
        <v>375</v>
      </c>
      <c r="F1694" s="9">
        <f t="shared" si="55"/>
        <v>0</v>
      </c>
      <c r="G1694" s="13"/>
      <c r="H1694" s="14" t="str">
        <f>HYPERLINK("https://pulti.ua/tv/pult-hyundai-h-lcd1510-originalnii")</f>
        <v>https://pulti.ua/tv/pult-hyundai-h-lcd1510-originalnii</v>
      </c>
    </row>
    <row r="1695" spans="1:8" s="18" customFormat="1" ht="15" customHeight="1">
      <c r="A1695" s="11">
        <v>4819</v>
      </c>
      <c r="B1695" s="12" t="s">
        <v>1779</v>
      </c>
      <c r="C1695" s="13" t="s">
        <v>965</v>
      </c>
      <c r="D1695" s="14"/>
      <c r="E1695" s="9">
        <v>75</v>
      </c>
      <c r="F1695" s="9">
        <f t="shared" si="55"/>
        <v>0</v>
      </c>
      <c r="G1695" s="13"/>
      <c r="H1695" s="14" t="str">
        <f>HYPERLINK("https://pulti.ua/mediapleery/originalniy-pult-inext-tv44k-ultra-tv3-4ktv-4k2")</f>
        <v>https://pulti.ua/mediapleery/originalniy-pult-inext-tv44k-ultra-tv3-4ktv-4k2</v>
      </c>
    </row>
    <row r="1696" spans="1:8" s="18" customFormat="1" ht="15" customHeight="1">
      <c r="A1696" s="11">
        <v>1277</v>
      </c>
      <c r="B1696" s="12" t="s">
        <v>1780</v>
      </c>
      <c r="C1696" s="13" t="s">
        <v>11</v>
      </c>
      <c r="D1696" s="14"/>
      <c r="E1696" s="9">
        <v>292.5</v>
      </c>
      <c r="F1696" s="9">
        <f t="shared" si="55"/>
        <v>0</v>
      </c>
      <c r="G1696" s="13"/>
      <c r="H1696" s="14" t="str">
        <f>HYPERLINK("https://pulti.ua/tv/pult-jvc-rm-c1261-originalnii")</f>
        <v>https://pulti.ua/tv/pult-jvc-rm-c1261-originalnii</v>
      </c>
    </row>
    <row r="1697" spans="1:8" s="18" customFormat="1" ht="15" customHeight="1">
      <c r="A1697" s="11">
        <v>3620</v>
      </c>
      <c r="B1697" s="12" t="s">
        <v>1781</v>
      </c>
      <c r="C1697" s="13" t="s">
        <v>22</v>
      </c>
      <c r="D1697" s="14"/>
      <c r="E1697" s="9">
        <v>543.8</v>
      </c>
      <c r="F1697" s="9">
        <f t="shared" si="55"/>
        <v>0</v>
      </c>
      <c r="G1697" s="13"/>
      <c r="H1697" s="14" t="str">
        <f>HYPERLINK("https://pulti.ua/tv/pult-jvc-rm-c2503-originalnii")</f>
        <v>https://pulti.ua/tv/pult-jvc-rm-c2503-originalnii</v>
      </c>
    </row>
    <row r="1698" spans="1:8" s="18" customFormat="1" ht="15" customHeight="1">
      <c r="A1698" s="11">
        <v>4730</v>
      </c>
      <c r="B1698" s="12" t="s">
        <v>1782</v>
      </c>
      <c r="C1698" s="13" t="s">
        <v>11</v>
      </c>
      <c r="D1698" s="14"/>
      <c r="E1698" s="9"/>
      <c r="F1698" s="9"/>
      <c r="G1698" s="13"/>
      <c r="H1698" s="14"/>
    </row>
    <row r="1699" spans="1:8" s="18" customFormat="1" ht="15" customHeight="1">
      <c r="A1699" s="11">
        <v>4731</v>
      </c>
      <c r="B1699" s="12" t="s">
        <v>1783</v>
      </c>
      <c r="C1699" s="13" t="s">
        <v>1095</v>
      </c>
      <c r="D1699" s="14"/>
      <c r="E1699" s="9"/>
      <c r="F1699" s="9"/>
      <c r="G1699" s="13"/>
      <c r="H1699" s="14"/>
    </row>
    <row r="1700" spans="1:8" s="18" customFormat="1" ht="15" customHeight="1">
      <c r="A1700" s="11">
        <v>4732</v>
      </c>
      <c r="B1700" s="12" t="s">
        <v>1784</v>
      </c>
      <c r="C1700" s="13" t="s">
        <v>1106</v>
      </c>
      <c r="D1700" s="14"/>
      <c r="E1700" s="9"/>
      <c r="F1700" s="9"/>
      <c r="G1700" s="13"/>
      <c r="H1700" s="14"/>
    </row>
    <row r="1701" spans="1:8" s="18" customFormat="1" ht="15" customHeight="1">
      <c r="A1701" s="11">
        <v>4733</v>
      </c>
      <c r="B1701" s="12" t="s">
        <v>1785</v>
      </c>
      <c r="C1701" s="13" t="s">
        <v>1086</v>
      </c>
      <c r="D1701" s="14"/>
      <c r="E1701" s="9"/>
      <c r="F1701" s="9"/>
      <c r="G1701" s="13"/>
      <c r="H1701" s="14"/>
    </row>
    <row r="1702" spans="1:8" s="18" customFormat="1" ht="15" customHeight="1">
      <c r="A1702" s="11">
        <v>4588</v>
      </c>
      <c r="B1702" s="12" t="s">
        <v>1786</v>
      </c>
      <c r="C1702" s="13" t="s">
        <v>14</v>
      </c>
      <c r="D1702" s="14"/>
      <c r="E1702" s="9">
        <v>525</v>
      </c>
      <c r="F1702" s="9">
        <f t="shared" si="55"/>
        <v>0</v>
      </c>
      <c r="G1702" s="13"/>
      <c r="H1702" s="14" t="str">
        <f>HYPERLINK("https://pulti.ua/tv/originalnyj-pult-kivi-rc30")</f>
        <v>https://pulti.ua/tv/originalnyj-pult-kivi-rc30</v>
      </c>
    </row>
    <row r="1703" spans="1:8" s="18" customFormat="1" ht="15" customHeight="1">
      <c r="A1703" s="11">
        <v>2702</v>
      </c>
      <c r="B1703" s="12" t="s">
        <v>1787</v>
      </c>
      <c r="C1703" s="13" t="s">
        <v>11</v>
      </c>
      <c r="D1703" s="14"/>
      <c r="E1703" s="9">
        <v>236.3</v>
      </c>
      <c r="F1703" s="9">
        <f t="shared" si="55"/>
        <v>0</v>
      </c>
      <c r="G1703" s="13"/>
      <c r="H1703" s="14" t="str">
        <f>HYPERLINK("https://pulti.ua/tv/pult-konka-kk-y113-originalnii")</f>
        <v>https://pulti.ua/tv/pult-konka-kk-y113-originalnii</v>
      </c>
    </row>
    <row r="1704" spans="1:8" s="18" customFormat="1" ht="15" customHeight="1">
      <c r="A1704" s="11">
        <v>2704</v>
      </c>
      <c r="B1704" s="12" t="s">
        <v>1788</v>
      </c>
      <c r="C1704" s="13" t="s">
        <v>11</v>
      </c>
      <c r="D1704" s="14"/>
      <c r="E1704" s="9">
        <v>236.3</v>
      </c>
      <c r="F1704" s="9">
        <f t="shared" si="55"/>
        <v>0</v>
      </c>
      <c r="G1704" s="13"/>
      <c r="H1704" s="14" t="str">
        <f>HYPERLINK("https://pulti.ua/tv/pult-konka-kk-y216-originalnii")</f>
        <v>https://pulti.ua/tv/pult-konka-kk-y216-originalnii</v>
      </c>
    </row>
    <row r="1705" spans="1:8" s="18" customFormat="1" ht="15" customHeight="1">
      <c r="A1705" s="11">
        <v>3441</v>
      </c>
      <c r="B1705" s="12" t="s">
        <v>1789</v>
      </c>
      <c r="C1705" s="13" t="s">
        <v>11</v>
      </c>
      <c r="D1705" s="14"/>
      <c r="E1705" s="9"/>
      <c r="F1705" s="9"/>
      <c r="G1705" s="13"/>
      <c r="H1705" s="14"/>
    </row>
    <row r="1706" spans="1:8" s="18" customFormat="1" ht="15" customHeight="1">
      <c r="A1706" s="11">
        <v>3442</v>
      </c>
      <c r="B1706" s="12" t="s">
        <v>1790</v>
      </c>
      <c r="C1706" s="13" t="s">
        <v>11</v>
      </c>
      <c r="D1706" s="14"/>
      <c r="E1706" s="9"/>
      <c r="F1706" s="9"/>
      <c r="G1706" s="13"/>
      <c r="H1706" s="14"/>
    </row>
    <row r="1707" spans="1:8" s="18" customFormat="1" ht="15" customHeight="1">
      <c r="A1707" s="11">
        <v>3443</v>
      </c>
      <c r="B1707" s="12" t="s">
        <v>1791</v>
      </c>
      <c r="C1707" s="13" t="s">
        <v>11</v>
      </c>
      <c r="D1707" s="14"/>
      <c r="E1707" s="9"/>
      <c r="F1707" s="9"/>
      <c r="G1707" s="13"/>
      <c r="H1707" s="14"/>
    </row>
    <row r="1708" spans="1:8" s="18" customFormat="1" ht="15" customHeight="1">
      <c r="A1708" s="11">
        <v>3445</v>
      </c>
      <c r="B1708" s="12" t="s">
        <v>1792</v>
      </c>
      <c r="C1708" s="13" t="s">
        <v>11</v>
      </c>
      <c r="D1708" s="14"/>
      <c r="E1708" s="9"/>
      <c r="F1708" s="9"/>
      <c r="G1708" s="13"/>
      <c r="H1708" s="14"/>
    </row>
    <row r="1709" spans="1:8" s="18" customFormat="1" ht="15" customHeight="1">
      <c r="A1709" s="11">
        <v>3446</v>
      </c>
      <c r="B1709" s="12" t="s">
        <v>1793</v>
      </c>
      <c r="C1709" s="13" t="s">
        <v>1095</v>
      </c>
      <c r="D1709" s="14"/>
      <c r="E1709" s="9"/>
      <c r="F1709" s="9"/>
      <c r="G1709" s="13"/>
      <c r="H1709" s="14"/>
    </row>
    <row r="1710" spans="1:8" s="18" customFormat="1" ht="15" customHeight="1">
      <c r="A1710" s="11">
        <v>3447</v>
      </c>
      <c r="B1710" s="12" t="s">
        <v>1794</v>
      </c>
      <c r="C1710" s="13" t="s">
        <v>1095</v>
      </c>
      <c r="D1710" s="14"/>
      <c r="E1710" s="9"/>
      <c r="F1710" s="9"/>
      <c r="G1710" s="13"/>
      <c r="H1710" s="14"/>
    </row>
    <row r="1711" spans="1:8" s="18" customFormat="1" ht="15" customHeight="1">
      <c r="A1711" s="11">
        <v>4626</v>
      </c>
      <c r="B1711" s="12" t="s">
        <v>1795</v>
      </c>
      <c r="C1711" s="13" t="s">
        <v>1095</v>
      </c>
      <c r="D1711" s="14"/>
      <c r="E1711" s="9"/>
      <c r="F1711" s="9"/>
      <c r="G1711" s="13"/>
      <c r="H1711" s="14"/>
    </row>
    <row r="1712" spans="1:8" s="18" customFormat="1" ht="15" customHeight="1">
      <c r="A1712" s="11">
        <v>4627</v>
      </c>
      <c r="B1712" s="12" t="s">
        <v>1796</v>
      </c>
      <c r="C1712" s="13" t="s">
        <v>1095</v>
      </c>
      <c r="D1712" s="14"/>
      <c r="E1712" s="9"/>
      <c r="F1712" s="9"/>
      <c r="G1712" s="13"/>
      <c r="H1712" s="14"/>
    </row>
    <row r="1713" spans="1:8" s="18" customFormat="1" ht="15" customHeight="1">
      <c r="A1713" s="11">
        <v>4628</v>
      </c>
      <c r="B1713" s="12" t="s">
        <v>1797</v>
      </c>
      <c r="C1713" s="13" t="s">
        <v>1095</v>
      </c>
      <c r="D1713" s="14"/>
      <c r="E1713" s="9"/>
      <c r="F1713" s="9"/>
      <c r="G1713" s="13"/>
      <c r="H1713" s="14"/>
    </row>
    <row r="1714" spans="1:8" s="18" customFormat="1" ht="15" customHeight="1">
      <c r="A1714" s="11">
        <v>4629</v>
      </c>
      <c r="B1714" s="12" t="s">
        <v>1798</v>
      </c>
      <c r="C1714" s="13" t="s">
        <v>1095</v>
      </c>
      <c r="D1714" s="14"/>
      <c r="E1714" s="9"/>
      <c r="F1714" s="9"/>
      <c r="G1714" s="13"/>
      <c r="H1714" s="14"/>
    </row>
    <row r="1715" spans="1:8" s="18" customFormat="1" ht="15" customHeight="1">
      <c r="A1715" s="11">
        <v>4630</v>
      </c>
      <c r="B1715" s="12" t="s">
        <v>1799</v>
      </c>
      <c r="C1715" s="13" t="s">
        <v>1095</v>
      </c>
      <c r="D1715" s="14"/>
      <c r="E1715" s="9"/>
      <c r="F1715" s="9"/>
      <c r="G1715" s="13"/>
      <c r="H1715" s="14"/>
    </row>
    <row r="1716" spans="1:8" s="18" customFormat="1" ht="15" customHeight="1">
      <c r="A1716" s="11">
        <v>4631</v>
      </c>
      <c r="B1716" s="12" t="s">
        <v>1800</v>
      </c>
      <c r="C1716" s="13" t="s">
        <v>1095</v>
      </c>
      <c r="D1716" s="14"/>
      <c r="E1716" s="9"/>
      <c r="F1716" s="9"/>
      <c r="G1716" s="13"/>
      <c r="H1716" s="14"/>
    </row>
    <row r="1717" spans="1:8" s="18" customFormat="1" ht="15" customHeight="1">
      <c r="A1717" s="11">
        <v>4632</v>
      </c>
      <c r="B1717" s="12" t="s">
        <v>1801</v>
      </c>
      <c r="C1717" s="13" t="s">
        <v>1095</v>
      </c>
      <c r="D1717" s="14"/>
      <c r="E1717" s="9"/>
      <c r="F1717" s="9"/>
      <c r="G1717" s="13"/>
      <c r="H1717" s="14"/>
    </row>
    <row r="1718" spans="1:8" s="18" customFormat="1" ht="15" customHeight="1">
      <c r="A1718" s="11">
        <v>4633</v>
      </c>
      <c r="B1718" s="12" t="s">
        <v>1802</v>
      </c>
      <c r="C1718" s="13" t="s">
        <v>1095</v>
      </c>
      <c r="D1718" s="14"/>
      <c r="E1718" s="9"/>
      <c r="F1718" s="9"/>
      <c r="G1718" s="13"/>
      <c r="H1718" s="14"/>
    </row>
    <row r="1719" spans="1:8" s="18" customFormat="1" ht="15" customHeight="1">
      <c r="A1719" s="11">
        <v>4634</v>
      </c>
      <c r="B1719" s="12" t="s">
        <v>1803</v>
      </c>
      <c r="C1719" s="13" t="s">
        <v>1095</v>
      </c>
      <c r="D1719" s="14"/>
      <c r="E1719" s="9"/>
      <c r="F1719" s="9"/>
      <c r="G1719" s="13"/>
      <c r="H1719" s="14"/>
    </row>
    <row r="1720" spans="1:8" s="18" customFormat="1" ht="15" customHeight="1">
      <c r="A1720" s="11">
        <v>4635</v>
      </c>
      <c r="B1720" s="12" t="s">
        <v>1804</v>
      </c>
      <c r="C1720" s="13" t="s">
        <v>1095</v>
      </c>
      <c r="D1720" s="14"/>
      <c r="E1720" s="9"/>
      <c r="F1720" s="9"/>
      <c r="G1720" s="13"/>
      <c r="H1720" s="14"/>
    </row>
    <row r="1721" spans="1:8" s="18" customFormat="1" ht="15" customHeight="1">
      <c r="A1721" s="11">
        <v>4636</v>
      </c>
      <c r="B1721" s="12" t="s">
        <v>1805</v>
      </c>
      <c r="C1721" s="13" t="s">
        <v>1095</v>
      </c>
      <c r="D1721" s="14"/>
      <c r="E1721" s="9"/>
      <c r="F1721" s="9"/>
      <c r="G1721" s="13"/>
      <c r="H1721" s="14"/>
    </row>
    <row r="1722" spans="1:8" s="18" customFormat="1" ht="15" customHeight="1">
      <c r="A1722" s="11">
        <v>1869</v>
      </c>
      <c r="B1722" s="12" t="s">
        <v>1806</v>
      </c>
      <c r="C1722" s="13" t="s">
        <v>1106</v>
      </c>
      <c r="D1722" s="14"/>
      <c r="E1722" s="9">
        <v>375</v>
      </c>
      <c r="F1722" s="9">
        <f t="shared" si="55"/>
        <v>0</v>
      </c>
      <c r="G1722" s="13"/>
      <c r="H1722" s="14" t="str">
        <f>HYPERLINK("https://pulti.ua/domashnie-kinoteatry/pult-lg-6710cmaq02a-originalnii")</f>
        <v>https://pulti.ua/domashnie-kinoteatry/pult-lg-6710cmaq02a-originalnii</v>
      </c>
    </row>
    <row r="1723" spans="1:8" s="18" customFormat="1" ht="15" customHeight="1">
      <c r="A1723" s="11">
        <v>4637</v>
      </c>
      <c r="B1723" s="12" t="s">
        <v>1807</v>
      </c>
      <c r="C1723" s="13" t="s">
        <v>1106</v>
      </c>
      <c r="D1723" s="14"/>
      <c r="E1723" s="9"/>
      <c r="F1723" s="9"/>
      <c r="G1723" s="13"/>
      <c r="H1723" s="14"/>
    </row>
    <row r="1724" spans="1:8" s="18" customFormat="1" ht="15" customHeight="1">
      <c r="A1724" s="11">
        <v>4639</v>
      </c>
      <c r="B1724" s="12" t="s">
        <v>1808</v>
      </c>
      <c r="C1724" s="13" t="s">
        <v>11</v>
      </c>
      <c r="D1724" s="14"/>
      <c r="E1724" s="9"/>
      <c r="F1724" s="9"/>
      <c r="G1724" s="13"/>
      <c r="H1724" s="14"/>
    </row>
    <row r="1725" spans="1:8" s="18" customFormat="1" ht="15" customHeight="1">
      <c r="A1725" s="11">
        <v>4640</v>
      </c>
      <c r="B1725" s="12" t="s">
        <v>1809</v>
      </c>
      <c r="C1725" s="13" t="s">
        <v>11</v>
      </c>
      <c r="D1725" s="14"/>
      <c r="E1725" s="9"/>
      <c r="F1725" s="9"/>
      <c r="G1725" s="13"/>
      <c r="H1725" s="14"/>
    </row>
    <row r="1726" spans="1:8" s="18" customFormat="1" ht="15" customHeight="1">
      <c r="A1726" s="11">
        <v>4641</v>
      </c>
      <c r="B1726" s="12" t="s">
        <v>1810</v>
      </c>
      <c r="C1726" s="13" t="s">
        <v>11</v>
      </c>
      <c r="D1726" s="14"/>
      <c r="E1726" s="9"/>
      <c r="F1726" s="9"/>
      <c r="G1726" s="13"/>
      <c r="H1726" s="14"/>
    </row>
    <row r="1727" spans="1:8" s="18" customFormat="1" ht="15" customHeight="1">
      <c r="A1727" s="11">
        <v>4642</v>
      </c>
      <c r="B1727" s="12" t="s">
        <v>1811</v>
      </c>
      <c r="C1727" s="13" t="s">
        <v>11</v>
      </c>
      <c r="D1727" s="14"/>
      <c r="E1727" s="9"/>
      <c r="F1727" s="9"/>
      <c r="G1727" s="13"/>
      <c r="H1727" s="14"/>
    </row>
    <row r="1728" spans="1:8" s="18" customFormat="1" ht="15" customHeight="1">
      <c r="A1728" s="11">
        <v>4643</v>
      </c>
      <c r="B1728" s="12" t="s">
        <v>1812</v>
      </c>
      <c r="C1728" s="13" t="s">
        <v>11</v>
      </c>
      <c r="D1728" s="14"/>
      <c r="E1728" s="9"/>
      <c r="F1728" s="9"/>
      <c r="G1728" s="13"/>
      <c r="H1728" s="14"/>
    </row>
    <row r="1729" spans="1:8" s="18" customFormat="1" ht="15" customHeight="1">
      <c r="A1729" s="11">
        <v>4644</v>
      </c>
      <c r="B1729" s="12" t="s">
        <v>1813</v>
      </c>
      <c r="C1729" s="13" t="s">
        <v>11</v>
      </c>
      <c r="D1729" s="14"/>
      <c r="E1729" s="9"/>
      <c r="F1729" s="9"/>
      <c r="G1729" s="13"/>
      <c r="H1729" s="14"/>
    </row>
    <row r="1730" spans="1:8" s="18" customFormat="1" ht="15" customHeight="1">
      <c r="A1730" s="11">
        <v>4645</v>
      </c>
      <c r="B1730" s="12" t="s">
        <v>1814</v>
      </c>
      <c r="C1730" s="13" t="s">
        <v>11</v>
      </c>
      <c r="D1730" s="14"/>
      <c r="E1730" s="9"/>
      <c r="F1730" s="9"/>
      <c r="G1730" s="13"/>
      <c r="H1730" s="14"/>
    </row>
    <row r="1731" spans="1:8" s="18" customFormat="1" ht="15" customHeight="1">
      <c r="A1731" s="11">
        <v>4646</v>
      </c>
      <c r="B1731" s="12" t="s">
        <v>1815</v>
      </c>
      <c r="C1731" s="13" t="s">
        <v>11</v>
      </c>
      <c r="D1731" s="14"/>
      <c r="E1731" s="9"/>
      <c r="F1731" s="9"/>
      <c r="G1731" s="13"/>
      <c r="H1731" s="14"/>
    </row>
    <row r="1732" spans="1:8" s="18" customFormat="1" ht="15" customHeight="1">
      <c r="A1732" s="11">
        <v>4647</v>
      </c>
      <c r="B1732" s="12" t="s">
        <v>1816</v>
      </c>
      <c r="C1732" s="13" t="s">
        <v>11</v>
      </c>
      <c r="D1732" s="14"/>
      <c r="E1732" s="9"/>
      <c r="F1732" s="9"/>
      <c r="G1732" s="13"/>
      <c r="H1732" s="14"/>
    </row>
    <row r="1733" spans="1:8" s="18" customFormat="1" ht="15" customHeight="1">
      <c r="A1733" s="11">
        <v>4648</v>
      </c>
      <c r="B1733" s="12" t="s">
        <v>1817</v>
      </c>
      <c r="C1733" s="13" t="s">
        <v>295</v>
      </c>
      <c r="D1733" s="14"/>
      <c r="E1733" s="9"/>
      <c r="F1733" s="9"/>
      <c r="G1733" s="13"/>
      <c r="H1733" s="14"/>
    </row>
    <row r="1734" spans="1:8" s="18" customFormat="1" ht="15" customHeight="1">
      <c r="A1734" s="11">
        <v>4649</v>
      </c>
      <c r="B1734" s="12" t="s">
        <v>1818</v>
      </c>
      <c r="C1734" s="13" t="s">
        <v>11</v>
      </c>
      <c r="D1734" s="14"/>
      <c r="E1734" s="9"/>
      <c r="F1734" s="9"/>
      <c r="G1734" s="13"/>
      <c r="H1734" s="14"/>
    </row>
    <row r="1735" spans="1:8" s="18" customFormat="1" ht="15" customHeight="1">
      <c r="A1735" s="11">
        <v>4650</v>
      </c>
      <c r="B1735" s="12" t="s">
        <v>1819</v>
      </c>
      <c r="C1735" s="13" t="s">
        <v>11</v>
      </c>
      <c r="D1735" s="14"/>
      <c r="E1735" s="9"/>
      <c r="F1735" s="9"/>
      <c r="G1735" s="13"/>
      <c r="H1735" s="14"/>
    </row>
    <row r="1736" spans="1:8" s="18" customFormat="1" ht="15" customHeight="1">
      <c r="A1736" s="11">
        <v>4651</v>
      </c>
      <c r="B1736" s="12" t="s">
        <v>1820</v>
      </c>
      <c r="C1736" s="13" t="s">
        <v>11</v>
      </c>
      <c r="D1736" s="14"/>
      <c r="E1736" s="9"/>
      <c r="F1736" s="9"/>
      <c r="G1736" s="13"/>
      <c r="H1736" s="14"/>
    </row>
    <row r="1737" spans="1:8" s="18" customFormat="1" ht="15" customHeight="1">
      <c r="A1737" s="11">
        <v>4652</v>
      </c>
      <c r="B1737" s="12" t="s">
        <v>1821</v>
      </c>
      <c r="C1737" s="13" t="s">
        <v>295</v>
      </c>
      <c r="D1737" s="14"/>
      <c r="E1737" s="9"/>
      <c r="F1737" s="9"/>
      <c r="G1737" s="13"/>
      <c r="H1737" s="14"/>
    </row>
    <row r="1738" spans="1:8" s="18" customFormat="1" ht="15" customHeight="1">
      <c r="A1738" s="11">
        <v>4653</v>
      </c>
      <c r="B1738" s="12" t="s">
        <v>1822</v>
      </c>
      <c r="C1738" s="13" t="s">
        <v>295</v>
      </c>
      <c r="D1738" s="14"/>
      <c r="E1738" s="9"/>
      <c r="F1738" s="9"/>
      <c r="G1738" s="13"/>
      <c r="H1738" s="14"/>
    </row>
    <row r="1739" spans="1:8" s="18" customFormat="1" ht="15" customHeight="1">
      <c r="A1739" s="11">
        <v>4654</v>
      </c>
      <c r="B1739" s="12" t="s">
        <v>1823</v>
      </c>
      <c r="C1739" s="13" t="s">
        <v>295</v>
      </c>
      <c r="D1739" s="14"/>
      <c r="E1739" s="9"/>
      <c r="F1739" s="9"/>
      <c r="G1739" s="13"/>
      <c r="H1739" s="14"/>
    </row>
    <row r="1740" spans="1:8" s="18" customFormat="1" ht="15" customHeight="1">
      <c r="A1740" s="11">
        <v>4655</v>
      </c>
      <c r="B1740" s="12" t="s">
        <v>1824</v>
      </c>
      <c r="C1740" s="13" t="s">
        <v>11</v>
      </c>
      <c r="D1740" s="14"/>
      <c r="E1740" s="9"/>
      <c r="F1740" s="9"/>
      <c r="G1740" s="13"/>
      <c r="H1740" s="14"/>
    </row>
    <row r="1741" spans="1:8" s="18" customFormat="1" ht="15" customHeight="1">
      <c r="A1741" s="11">
        <v>4656</v>
      </c>
      <c r="B1741" s="12" t="s">
        <v>1825</v>
      </c>
      <c r="C1741" s="13" t="s">
        <v>11</v>
      </c>
      <c r="D1741" s="14"/>
      <c r="E1741" s="9"/>
      <c r="F1741" s="9"/>
      <c r="G1741" s="13"/>
      <c r="H1741" s="14"/>
    </row>
    <row r="1742" spans="1:8" s="18" customFormat="1" ht="15" customHeight="1">
      <c r="A1742" s="11">
        <v>4657</v>
      </c>
      <c r="B1742" s="12" t="s">
        <v>1826</v>
      </c>
      <c r="C1742" s="13" t="s">
        <v>295</v>
      </c>
      <c r="D1742" s="14"/>
      <c r="E1742" s="9"/>
      <c r="F1742" s="9"/>
      <c r="G1742" s="13"/>
      <c r="H1742" s="14"/>
    </row>
    <row r="1743" spans="1:8" s="18" customFormat="1" ht="15" customHeight="1">
      <c r="A1743" s="11">
        <v>4658</v>
      </c>
      <c r="B1743" s="12" t="s">
        <v>1827</v>
      </c>
      <c r="C1743" s="13" t="s">
        <v>11</v>
      </c>
      <c r="D1743" s="14"/>
      <c r="E1743" s="9"/>
      <c r="F1743" s="9"/>
      <c r="G1743" s="13"/>
      <c r="H1743" s="14"/>
    </row>
    <row r="1744" spans="1:8" s="18" customFormat="1" ht="15" customHeight="1">
      <c r="A1744" s="11">
        <v>4659</v>
      </c>
      <c r="B1744" s="12" t="s">
        <v>1828</v>
      </c>
      <c r="C1744" s="13" t="s">
        <v>11</v>
      </c>
      <c r="D1744" s="14"/>
      <c r="E1744" s="9"/>
      <c r="F1744" s="9"/>
      <c r="G1744" s="13"/>
      <c r="H1744" s="14"/>
    </row>
    <row r="1745" spans="1:8" s="18" customFormat="1" ht="15" customHeight="1">
      <c r="A1745" s="11">
        <v>4660</v>
      </c>
      <c r="B1745" s="12" t="s">
        <v>1829</v>
      </c>
      <c r="C1745" s="13" t="s">
        <v>11</v>
      </c>
      <c r="D1745" s="14"/>
      <c r="E1745" s="9"/>
      <c r="F1745" s="9"/>
      <c r="G1745" s="13"/>
      <c r="H1745" s="14"/>
    </row>
    <row r="1746" spans="1:8" s="18" customFormat="1" ht="15" customHeight="1">
      <c r="A1746" s="11">
        <v>4661</v>
      </c>
      <c r="B1746" s="12" t="s">
        <v>1830</v>
      </c>
      <c r="C1746" s="13" t="s">
        <v>11</v>
      </c>
      <c r="D1746" s="14"/>
      <c r="E1746" s="9"/>
      <c r="F1746" s="9"/>
      <c r="G1746" s="13"/>
      <c r="H1746" s="14"/>
    </row>
    <row r="1747" spans="1:8" s="18" customFormat="1" ht="15" customHeight="1">
      <c r="A1747" s="11">
        <v>4662</v>
      </c>
      <c r="B1747" s="12" t="s">
        <v>1831</v>
      </c>
      <c r="C1747" s="13" t="s">
        <v>11</v>
      </c>
      <c r="D1747" s="14"/>
      <c r="E1747" s="9"/>
      <c r="F1747" s="9"/>
      <c r="G1747" s="13"/>
      <c r="H1747" s="14"/>
    </row>
    <row r="1748" spans="1:8" s="18" customFormat="1" ht="15" customHeight="1">
      <c r="A1748" s="11">
        <v>4663</v>
      </c>
      <c r="B1748" s="12" t="s">
        <v>1832</v>
      </c>
      <c r="C1748" s="13" t="s">
        <v>773</v>
      </c>
      <c r="D1748" s="14"/>
      <c r="E1748" s="9"/>
      <c r="F1748" s="9"/>
      <c r="G1748" s="13"/>
      <c r="H1748" s="14"/>
    </row>
    <row r="1749" spans="1:8" s="18" customFormat="1" ht="15" customHeight="1">
      <c r="A1749" s="11">
        <v>4664</v>
      </c>
      <c r="B1749" s="12" t="s">
        <v>1833</v>
      </c>
      <c r="C1749" s="13" t="s">
        <v>1086</v>
      </c>
      <c r="D1749" s="14"/>
      <c r="E1749" s="9"/>
      <c r="F1749" s="9"/>
      <c r="G1749" s="13"/>
      <c r="H1749" s="14"/>
    </row>
    <row r="1750" spans="1:8" s="18" customFormat="1" ht="15" customHeight="1">
      <c r="A1750" s="11">
        <v>4665</v>
      </c>
      <c r="B1750" s="12" t="s">
        <v>1834</v>
      </c>
      <c r="C1750" s="13" t="s">
        <v>1086</v>
      </c>
      <c r="D1750" s="14"/>
      <c r="E1750" s="9"/>
      <c r="F1750" s="9"/>
      <c r="G1750" s="13"/>
      <c r="H1750" s="14"/>
    </row>
    <row r="1751" spans="1:8" s="18" customFormat="1" ht="15" customHeight="1">
      <c r="A1751" s="11">
        <v>4675</v>
      </c>
      <c r="B1751" s="12" t="s">
        <v>1835</v>
      </c>
      <c r="C1751" s="13" t="s">
        <v>1086</v>
      </c>
      <c r="D1751" s="14"/>
      <c r="E1751" s="9"/>
      <c r="F1751" s="9"/>
      <c r="G1751" s="13"/>
      <c r="H1751" s="14"/>
    </row>
    <row r="1752" spans="1:8" s="18" customFormat="1" ht="15" customHeight="1">
      <c r="A1752" s="11">
        <v>4666</v>
      </c>
      <c r="B1752" s="12" t="s">
        <v>1836</v>
      </c>
      <c r="C1752" s="13" t="s">
        <v>1086</v>
      </c>
      <c r="D1752" s="14"/>
      <c r="E1752" s="9"/>
      <c r="F1752" s="9"/>
      <c r="G1752" s="13"/>
      <c r="H1752" s="14"/>
    </row>
    <row r="1753" spans="1:8" s="18" customFormat="1" ht="15" customHeight="1">
      <c r="A1753" s="11">
        <v>4667</v>
      </c>
      <c r="B1753" s="12" t="s">
        <v>1837</v>
      </c>
      <c r="C1753" s="13" t="s">
        <v>1086</v>
      </c>
      <c r="D1753" s="14"/>
      <c r="E1753" s="9"/>
      <c r="F1753" s="9"/>
      <c r="G1753" s="13"/>
      <c r="H1753" s="14"/>
    </row>
    <row r="1754" spans="1:8" s="18" customFormat="1" ht="15" customHeight="1">
      <c r="A1754" s="11">
        <v>4676</v>
      </c>
      <c r="B1754" s="12" t="s">
        <v>1838</v>
      </c>
      <c r="C1754" s="13" t="s">
        <v>1086</v>
      </c>
      <c r="D1754" s="14"/>
      <c r="E1754" s="9"/>
      <c r="F1754" s="9"/>
      <c r="G1754" s="13"/>
      <c r="H1754" s="14"/>
    </row>
    <row r="1755" spans="1:8" s="18" customFormat="1" ht="15" customHeight="1">
      <c r="A1755" s="11">
        <v>4677</v>
      </c>
      <c r="B1755" s="12" t="s">
        <v>1839</v>
      </c>
      <c r="C1755" s="13" t="s">
        <v>1095</v>
      </c>
      <c r="D1755" s="14"/>
      <c r="E1755" s="9"/>
      <c r="F1755" s="9"/>
      <c r="G1755" s="13"/>
      <c r="H1755" s="14"/>
    </row>
    <row r="1756" spans="1:8" s="18" customFormat="1" ht="15" customHeight="1">
      <c r="A1756" s="11">
        <v>4668</v>
      </c>
      <c r="B1756" s="12" t="s">
        <v>1840</v>
      </c>
      <c r="C1756" s="13" t="s">
        <v>1095</v>
      </c>
      <c r="D1756" s="14"/>
      <c r="E1756" s="9"/>
      <c r="F1756" s="9"/>
      <c r="G1756" s="13"/>
      <c r="H1756" s="14"/>
    </row>
    <row r="1757" spans="1:8" s="18" customFormat="1" ht="15" customHeight="1">
      <c r="A1757" s="11">
        <v>2859</v>
      </c>
      <c r="B1757" s="12" t="s">
        <v>1841</v>
      </c>
      <c r="C1757" s="13" t="s">
        <v>22</v>
      </c>
      <c r="D1757" s="14"/>
      <c r="E1757" s="9">
        <v>386.3</v>
      </c>
      <c r="F1757" s="9">
        <f aca="true" t="shared" si="56" ref="F1728:F1791">D1757*E1757</f>
        <v>0</v>
      </c>
      <c r="G1757" s="13"/>
      <c r="H1757" s="14" t="str">
        <f>HYPERLINK("https://pulti.ua/tv/pult-lg-akb33871403-originalnii")</f>
        <v>https://pulti.ua/tv/pult-lg-akb33871403-originalnii</v>
      </c>
    </row>
    <row r="1758" spans="1:8" s="18" customFormat="1" ht="15" customHeight="1">
      <c r="A1758" s="11">
        <v>4669</v>
      </c>
      <c r="B1758" s="12" t="s">
        <v>1842</v>
      </c>
      <c r="C1758" s="13" t="s">
        <v>11</v>
      </c>
      <c r="D1758" s="14"/>
      <c r="E1758" s="9"/>
      <c r="F1758" s="9"/>
      <c r="G1758" s="13"/>
      <c r="H1758" s="14"/>
    </row>
    <row r="1759" spans="1:8" s="18" customFormat="1" ht="15" customHeight="1">
      <c r="A1759" s="11">
        <v>4670</v>
      </c>
      <c r="B1759" s="12" t="s">
        <v>1843</v>
      </c>
      <c r="C1759" s="13" t="s">
        <v>11</v>
      </c>
      <c r="D1759" s="14"/>
      <c r="E1759" s="9"/>
      <c r="F1759" s="9"/>
      <c r="G1759" s="13"/>
      <c r="H1759" s="14"/>
    </row>
    <row r="1760" spans="1:8" s="18" customFormat="1" ht="15" customHeight="1">
      <c r="A1760" s="11">
        <v>2245</v>
      </c>
      <c r="B1760" s="12" t="s">
        <v>1844</v>
      </c>
      <c r="C1760" s="13" t="s">
        <v>1146</v>
      </c>
      <c r="D1760" s="14"/>
      <c r="E1760" s="9">
        <v>506.3</v>
      </c>
      <c r="F1760" s="9">
        <f t="shared" si="56"/>
        <v>0</v>
      </c>
      <c r="G1760" s="13"/>
      <c r="H1760" s="14" t="str">
        <f>HYPERLINK("https://pulti.ua/dvd-blueray/pult-lg-akb72033902-originalnii")</f>
        <v>https://pulti.ua/dvd-blueray/pult-lg-akb72033902-originalnii</v>
      </c>
    </row>
    <row r="1761" spans="1:8" s="18" customFormat="1" ht="15" customHeight="1">
      <c r="A1761" s="11">
        <v>3502</v>
      </c>
      <c r="B1761" s="12" t="s">
        <v>1845</v>
      </c>
      <c r="C1761" s="13" t="s">
        <v>1146</v>
      </c>
      <c r="D1761" s="14"/>
      <c r="E1761" s="9">
        <v>412.5</v>
      </c>
      <c r="F1761" s="9">
        <f t="shared" si="56"/>
        <v>0</v>
      </c>
      <c r="G1761" s="13"/>
      <c r="H1761" s="14" t="str">
        <f>HYPERLINK("https://pulti.ua/dvd-blueray/pult-lg-akb72911501-originalnii")</f>
        <v>https://pulti.ua/dvd-blueray/pult-lg-akb72911501-originalnii</v>
      </c>
    </row>
    <row r="1762" spans="1:8" s="18" customFormat="1" ht="15" customHeight="1">
      <c r="A1762" s="11">
        <v>1369</v>
      </c>
      <c r="B1762" s="12" t="s">
        <v>1846</v>
      </c>
      <c r="C1762" s="13" t="s">
        <v>14</v>
      </c>
      <c r="D1762" s="14"/>
      <c r="E1762" s="9">
        <v>667.5</v>
      </c>
      <c r="F1762" s="9">
        <f t="shared" si="56"/>
        <v>0</v>
      </c>
      <c r="G1762" s="13"/>
      <c r="H1762" s="14" t="str">
        <f>HYPERLINK("https://pulti.ua/tv/pult-lg-akb72914208-originalnii")</f>
        <v>https://pulti.ua/tv/pult-lg-akb72914208-originalnii</v>
      </c>
    </row>
    <row r="1763" spans="1:8" s="18" customFormat="1" ht="15" customHeight="1">
      <c r="A1763" s="11">
        <v>2865</v>
      </c>
      <c r="B1763" s="12" t="s">
        <v>1847</v>
      </c>
      <c r="C1763" s="13" t="s">
        <v>22</v>
      </c>
      <c r="D1763" s="14"/>
      <c r="E1763" s="9">
        <v>611.3</v>
      </c>
      <c r="F1763" s="9">
        <f t="shared" si="56"/>
        <v>0</v>
      </c>
      <c r="G1763" s="13"/>
      <c r="H1763" s="14" t="str">
        <f>HYPERLINK("https://pulti.ua/tv/pult-lg-akb72915279-originalnii")</f>
        <v>https://pulti.ua/tv/pult-lg-akb72915279-originalnii</v>
      </c>
    </row>
    <row r="1764" spans="1:8" s="18" customFormat="1" ht="15" customHeight="1">
      <c r="A1764" s="11">
        <v>2246</v>
      </c>
      <c r="B1764" s="12" t="s">
        <v>1848</v>
      </c>
      <c r="C1764" s="13" t="s">
        <v>1086</v>
      </c>
      <c r="D1764" s="14"/>
      <c r="E1764" s="9">
        <v>262.5</v>
      </c>
      <c r="F1764" s="9">
        <f t="shared" si="56"/>
        <v>0</v>
      </c>
      <c r="G1764" s="13"/>
      <c r="H1764" s="14" t="str">
        <f>HYPERLINK("https://pulti.ua/dvd-blueray/pult-lg-akb72956401-originalnii")</f>
        <v>https://pulti.ua/dvd-blueray/pult-lg-akb72956401-originalnii</v>
      </c>
    </row>
    <row r="1765" spans="1:8" s="18" customFormat="1" ht="15" customHeight="1">
      <c r="A1765" s="11">
        <v>1379</v>
      </c>
      <c r="B1765" s="12" t="s">
        <v>1849</v>
      </c>
      <c r="C1765" s="13" t="s">
        <v>14</v>
      </c>
      <c r="D1765" s="14"/>
      <c r="E1765" s="9">
        <v>1042.5</v>
      </c>
      <c r="F1765" s="9">
        <f t="shared" si="56"/>
        <v>0</v>
      </c>
      <c r="G1765" s="13"/>
      <c r="H1765" s="14" t="str">
        <f>HYPERLINK("https://pulti.ua/tv/pult-lg-akb73275605---smart-tv---originalnii")</f>
        <v>https://pulti.ua/tv/pult-lg-akb73275605---smart-tv---originalnii</v>
      </c>
    </row>
    <row r="1766" spans="1:8" s="18" customFormat="1" ht="15" customHeight="1">
      <c r="A1766" s="11">
        <v>4592</v>
      </c>
      <c r="B1766" s="12" t="s">
        <v>1850</v>
      </c>
      <c r="C1766" s="13" t="s">
        <v>14</v>
      </c>
      <c r="D1766" s="14"/>
      <c r="E1766" s="9">
        <v>1800</v>
      </c>
      <c r="F1766" s="9">
        <f t="shared" si="56"/>
        <v>0</v>
      </c>
      <c r="G1766" s="13"/>
      <c r="H1766" s="14" t="str">
        <f>HYPERLINK("https://pulti.ua/tv/originalnyj-pult-lg-an-mr20ga-akb75855502-magic-motion")</f>
        <v>https://pulti.ua/tv/originalnyj-pult-lg-an-mr20ga-akb75855502-magic-motion</v>
      </c>
    </row>
    <row r="1767" spans="1:8" s="18" customFormat="1" ht="15" customHeight="1">
      <c r="A1767" s="40">
        <v>4849</v>
      </c>
      <c r="B1767" s="41" t="s">
        <v>1851</v>
      </c>
      <c r="C1767" s="13" t="s">
        <v>14</v>
      </c>
      <c r="D1767" s="14"/>
      <c r="E1767" s="9">
        <v>1012.5</v>
      </c>
      <c r="F1767" s="9">
        <f t="shared" si="56"/>
        <v>0</v>
      </c>
      <c r="G1767" s="13"/>
      <c r="H1767" s="14" t="str">
        <f>HYPERLINK("https://pulti.ua/tv/originalnyy-pult-lg-an-mr21ga-akb76036201-netflix")</f>
        <v>https://pulti.ua/tv/originalnyy-pult-lg-an-mr21ga-akb76036201-netflix</v>
      </c>
    </row>
    <row r="1768" spans="1:8" s="18" customFormat="1" ht="15" customHeight="1">
      <c r="A1768" s="11">
        <v>4482</v>
      </c>
      <c r="B1768" s="12" t="s">
        <v>1852</v>
      </c>
      <c r="C1768" s="13" t="s">
        <v>14</v>
      </c>
      <c r="D1768" s="14"/>
      <c r="E1768" s="9">
        <v>1800</v>
      </c>
      <c r="F1768" s="9">
        <f t="shared" si="56"/>
        <v>0</v>
      </c>
      <c r="G1768" s="13"/>
      <c r="H1768" s="14" t="str">
        <f>HYPERLINK("https://pulti.ua/tv/originalnyiy-pult-lg-an-mr700-magic-motion")</f>
        <v>https://pulti.ua/tv/originalnyiy-pult-lg-an-mr700-magic-motion</v>
      </c>
    </row>
    <row r="1769" spans="1:8" s="18" customFormat="1" ht="15" customHeight="1">
      <c r="A1769" s="11">
        <v>4671</v>
      </c>
      <c r="B1769" s="12" t="s">
        <v>1853</v>
      </c>
      <c r="C1769" s="13" t="s">
        <v>11</v>
      </c>
      <c r="D1769" s="14"/>
      <c r="E1769" s="9"/>
      <c r="F1769" s="9"/>
      <c r="G1769" s="13"/>
      <c r="H1769" s="14"/>
    </row>
    <row r="1770" spans="1:8" s="18" customFormat="1" ht="15" customHeight="1">
      <c r="A1770" s="11">
        <v>4672</v>
      </c>
      <c r="B1770" s="12" t="s">
        <v>1854</v>
      </c>
      <c r="C1770" s="13" t="s">
        <v>11</v>
      </c>
      <c r="D1770" s="14"/>
      <c r="E1770" s="9"/>
      <c r="F1770" s="9"/>
      <c r="G1770" s="13"/>
      <c r="H1770" s="14"/>
    </row>
    <row r="1771" spans="1:8" s="18" customFormat="1" ht="15" customHeight="1">
      <c r="A1771" s="11">
        <v>3966</v>
      </c>
      <c r="B1771" s="12" t="s">
        <v>1855</v>
      </c>
      <c r="C1771" s="13" t="s">
        <v>22</v>
      </c>
      <c r="D1771" s="14"/>
      <c r="E1771" s="9">
        <v>262.5</v>
      </c>
      <c r="F1771" s="9">
        <f t="shared" si="56"/>
        <v>0</v>
      </c>
      <c r="G1771" s="13"/>
      <c r="H1771" s="14" t="str">
        <f>HYPERLINK("https://pulti.ua/tv/originalnii-pult-lg-mkj33981417")</f>
        <v>https://pulti.ua/tv/originalnii-pult-lg-mkj33981417</v>
      </c>
    </row>
    <row r="1772" spans="1:8" s="18" customFormat="1" ht="15" customHeight="1">
      <c r="A1772" s="11">
        <v>1383</v>
      </c>
      <c r="B1772" s="12" t="s">
        <v>1856</v>
      </c>
      <c r="C1772" s="13" t="s">
        <v>22</v>
      </c>
      <c r="D1772" s="14"/>
      <c r="E1772" s="9">
        <v>618.8</v>
      </c>
      <c r="F1772" s="9">
        <f t="shared" si="56"/>
        <v>0</v>
      </c>
      <c r="G1772" s="13"/>
      <c r="H1772" s="14" t="str">
        <f>HYPERLINK("https://pulti.ua/tv/pult-lg-mkj37815701-originalnii")</f>
        <v>https://pulti.ua/tv/pult-lg-mkj37815701-originalnii</v>
      </c>
    </row>
    <row r="1773" spans="1:8" s="18" customFormat="1" ht="15" customHeight="1">
      <c r="A1773" s="11">
        <v>4678</v>
      </c>
      <c r="B1773" s="12" t="s">
        <v>1857</v>
      </c>
      <c r="C1773" s="13" t="s">
        <v>773</v>
      </c>
      <c r="D1773" s="14"/>
      <c r="E1773" s="9"/>
      <c r="F1773" s="9"/>
      <c r="G1773" s="13"/>
      <c r="H1773" s="14"/>
    </row>
    <row r="1774" spans="1:8" s="18" customFormat="1" ht="15" customHeight="1">
      <c r="A1774" s="11">
        <v>4673</v>
      </c>
      <c r="B1774" s="12" t="s">
        <v>1858</v>
      </c>
      <c r="C1774" s="13" t="s">
        <v>773</v>
      </c>
      <c r="D1774" s="14"/>
      <c r="E1774" s="9"/>
      <c r="F1774" s="9"/>
      <c r="G1774" s="13"/>
      <c r="H1774" s="14"/>
    </row>
    <row r="1775" spans="1:8" s="18" customFormat="1" ht="15" customHeight="1">
      <c r="A1775" s="11">
        <v>4679</v>
      </c>
      <c r="B1775" s="12" t="s">
        <v>1859</v>
      </c>
      <c r="C1775" s="13" t="s">
        <v>773</v>
      </c>
      <c r="D1775" s="14"/>
      <c r="E1775" s="9"/>
      <c r="F1775" s="9"/>
      <c r="G1775" s="13"/>
      <c r="H1775" s="14"/>
    </row>
    <row r="1776" spans="1:8" s="18" customFormat="1" ht="15" customHeight="1">
      <c r="A1776" s="11">
        <v>4674</v>
      </c>
      <c r="B1776" s="12" t="s">
        <v>1860</v>
      </c>
      <c r="C1776" s="13" t="s">
        <v>773</v>
      </c>
      <c r="D1776" s="14"/>
      <c r="E1776" s="9"/>
      <c r="F1776" s="9"/>
      <c r="G1776" s="13"/>
      <c r="H1776" s="14"/>
    </row>
    <row r="1777" spans="1:8" s="18" customFormat="1" ht="15" customHeight="1">
      <c r="A1777" s="11">
        <v>4873</v>
      </c>
      <c r="B1777" s="12" t="s">
        <v>1861</v>
      </c>
      <c r="C1777" s="13" t="s">
        <v>14</v>
      </c>
      <c r="D1777" s="14"/>
      <c r="E1777" s="9"/>
      <c r="F1777" s="9"/>
      <c r="G1777" s="13"/>
      <c r="H1777" s="14" t="str">
        <f>HYPERLINK("https://pulti.ua/tv/originalnyj-pult-liberton-2400-ed00libr")</f>
        <v>https://pulti.ua/tv/originalnyj-pult-liberton-2400-ed00libr</v>
      </c>
    </row>
    <row r="1778" spans="1:8" s="18" customFormat="1" ht="15" customHeight="1">
      <c r="A1778" s="11">
        <v>4876</v>
      </c>
      <c r="B1778" s="12" t="s">
        <v>1862</v>
      </c>
      <c r="C1778" s="13" t="s">
        <v>14</v>
      </c>
      <c r="D1778" s="14"/>
      <c r="E1778" s="9"/>
      <c r="F1778" s="9"/>
      <c r="G1778" s="13"/>
      <c r="H1778" s="14" t="str">
        <f>HYPERLINK("https://pulti.ua/tv/originalnyj-pult-liberton-32hl1hd")</f>
        <v>https://pulti.ua/tv/originalnyj-pult-liberton-32hl1hd</v>
      </c>
    </row>
    <row r="1779" spans="1:8" s="18" customFormat="1" ht="15" customHeight="1">
      <c r="A1779" s="11">
        <v>4877</v>
      </c>
      <c r="B1779" s="12" t="s">
        <v>1863</v>
      </c>
      <c r="C1779" s="13" t="s">
        <v>14</v>
      </c>
      <c r="D1779" s="14"/>
      <c r="E1779" s="9"/>
      <c r="F1779" s="9"/>
      <c r="G1779" s="13"/>
      <c r="H1779" s="14" t="str">
        <f>HYPERLINK("https://pulti.ua/tv/originalnyj-pult-liberton-32mc1hdt")</f>
        <v>https://pulti.ua/tv/originalnyj-pult-liberton-32mc1hdt</v>
      </c>
    </row>
    <row r="1780" spans="1:8" s="18" customFormat="1" ht="15" customHeight="1">
      <c r="A1780" s="11">
        <v>4875</v>
      </c>
      <c r="B1780" s="12" t="s">
        <v>1864</v>
      </c>
      <c r="C1780" s="13" t="s">
        <v>14</v>
      </c>
      <c r="D1780" s="14"/>
      <c r="E1780" s="9"/>
      <c r="F1780" s="9"/>
      <c r="G1780" s="13"/>
      <c r="H1780" s="14" t="str">
        <f>HYPERLINK("https://pulti.ua/tv/originalnyj-pult-liberton-43as2uhdta")</f>
        <v>https://pulti.ua/tv/originalnyj-pult-liberton-43as2uhdta</v>
      </c>
    </row>
    <row r="1781" spans="1:8" s="18" customFormat="1" ht="15" customHeight="1">
      <c r="A1781" s="11">
        <v>2960</v>
      </c>
      <c r="B1781" s="12" t="s">
        <v>1865</v>
      </c>
      <c r="C1781" s="13" t="s">
        <v>1086</v>
      </c>
      <c r="D1781" s="14"/>
      <c r="E1781" s="9">
        <v>90</v>
      </c>
      <c r="F1781" s="9">
        <f t="shared" si="56"/>
        <v>0</v>
      </c>
      <c r="G1781" s="13"/>
      <c r="H1781" s="14" t="str">
        <f>HYPERLINK("https://pulti.ua/dvd-blueray/pult-marquant-originalnii")</f>
        <v>https://pulti.ua/dvd-blueray/pult-marquant-originalnii</v>
      </c>
    </row>
    <row r="1782" spans="1:8" s="18" customFormat="1" ht="15" customHeight="1">
      <c r="A1782" s="11">
        <v>4447</v>
      </c>
      <c r="B1782" s="12" t="s">
        <v>1866</v>
      </c>
      <c r="C1782" s="13" t="s">
        <v>1256</v>
      </c>
      <c r="D1782" s="14"/>
      <c r="E1782" s="9">
        <v>247.5</v>
      </c>
      <c r="F1782" s="9">
        <f t="shared" si="56"/>
        <v>0</v>
      </c>
      <c r="G1782" s="13"/>
      <c r="H1782" s="14" t="str">
        <f>HYPERLINK("https://pulti.ua/mediapleery/pult-dlya-megogo-oasis-one-mk2")</f>
        <v>https://pulti.ua/mediapleery/pult-dlya-megogo-oasis-one-mk2</v>
      </c>
    </row>
    <row r="1783" spans="1:8" s="18" customFormat="1" ht="15" customHeight="1">
      <c r="A1783" s="11">
        <v>2958</v>
      </c>
      <c r="B1783" s="12" t="s">
        <v>1867</v>
      </c>
      <c r="C1783" s="13" t="s">
        <v>1086</v>
      </c>
      <c r="D1783" s="14"/>
      <c r="E1783" s="9">
        <v>90</v>
      </c>
      <c r="F1783" s="9">
        <f t="shared" si="56"/>
        <v>0</v>
      </c>
      <c r="G1783" s="13"/>
      <c r="H1783" s="14" t="str">
        <f>HYPERLINK("https://pulti.ua/dvd-blueray/pult-muvid-190-1-originalnii")</f>
        <v>https://pulti.ua/dvd-blueray/pult-muvid-190-1-originalnii</v>
      </c>
    </row>
    <row r="1784" spans="1:8" s="18" customFormat="1" ht="15" customHeight="1">
      <c r="A1784" s="11">
        <v>2719</v>
      </c>
      <c r="B1784" s="12" t="s">
        <v>1868</v>
      </c>
      <c r="C1784" s="13" t="s">
        <v>1086</v>
      </c>
      <c r="D1784" s="14"/>
      <c r="E1784" s="9">
        <v>195</v>
      </c>
      <c r="F1784" s="9">
        <f t="shared" si="56"/>
        <v>0</v>
      </c>
      <c r="G1784" s="13"/>
      <c r="H1784" s="14" t="str">
        <f>HYPERLINK("https://pulti.ua/dvd-blueray/pult-mystery-mtv720-originalnii")</f>
        <v>https://pulti.ua/dvd-blueray/pult-mystery-mtv720-originalnii</v>
      </c>
    </row>
    <row r="1785" spans="1:8" s="18" customFormat="1" ht="15" customHeight="1">
      <c r="A1785" s="11">
        <v>2940</v>
      </c>
      <c r="B1785" s="12" t="s">
        <v>1869</v>
      </c>
      <c r="C1785" s="13" t="s">
        <v>1086</v>
      </c>
      <c r="D1785" s="14"/>
      <c r="E1785" s="9">
        <v>56.3</v>
      </c>
      <c r="F1785" s="9">
        <f t="shared" si="56"/>
        <v>0</v>
      </c>
      <c r="G1785" s="13"/>
      <c r="H1785" s="14" t="str">
        <f>HYPERLINK("https://pulti.ua/dvd-blueray/pult-mystery-mtv-760cu-originalnii")</f>
        <v>https://pulti.ua/dvd-blueray/pult-mystery-mtv-760cu-originalnii</v>
      </c>
    </row>
    <row r="1786" spans="1:8" s="18" customFormat="1" ht="15" customHeight="1">
      <c r="A1786" s="11">
        <v>3140</v>
      </c>
      <c r="B1786" s="12" t="s">
        <v>1870</v>
      </c>
      <c r="C1786" s="13" t="s">
        <v>22</v>
      </c>
      <c r="D1786" s="14"/>
      <c r="E1786" s="9">
        <v>255</v>
      </c>
      <c r="F1786" s="9">
        <f t="shared" si="56"/>
        <v>0</v>
      </c>
      <c r="G1786" s="13"/>
      <c r="H1786" s="14" t="str">
        <f>HYPERLINK("https://pulti.ua/tv/pult-mystery-mtv770-originalnii")</f>
        <v>https://pulti.ua/tv/pult-mystery-mtv770-originalnii</v>
      </c>
    </row>
    <row r="1787" spans="1:8" s="18" customFormat="1" ht="15" customHeight="1">
      <c r="A1787" s="11">
        <v>4502</v>
      </c>
      <c r="B1787" s="12" t="s">
        <v>1871</v>
      </c>
      <c r="C1787" s="13" t="s">
        <v>14</v>
      </c>
      <c r="D1787" s="14"/>
      <c r="E1787" s="9">
        <v>468.8</v>
      </c>
      <c r="F1787" s="9">
        <f t="shared" si="56"/>
        <v>0</v>
      </c>
      <c r="G1787" s="13"/>
      <c r="H1787" s="14" t="str">
        <f>HYPERLINK("https://pulti.ua/tv/originalnyiy-pult-nomi-2100-ed0bnomi")</f>
        <v>https://pulti.ua/tv/originalnyiy-pult-nomi-2100-ed0bnomi</v>
      </c>
    </row>
    <row r="1788" spans="1:8" s="18" customFormat="1" ht="15" customHeight="1">
      <c r="A1788" s="11">
        <v>4616</v>
      </c>
      <c r="B1788" s="12" t="s">
        <v>1872</v>
      </c>
      <c r="C1788" s="13" t="s">
        <v>14</v>
      </c>
      <c r="D1788" s="14"/>
      <c r="E1788" s="9">
        <v>937.5</v>
      </c>
      <c r="F1788" s="9">
        <f t="shared" si="56"/>
        <v>0</v>
      </c>
      <c r="G1788" s="13"/>
      <c r="H1788" s="14" t="str">
        <f>HYPERLINK("https://pulti.ua/tv/originalnyj-pult-onida-43e6a")</f>
        <v>https://pulti.ua/tv/originalnyj-pult-onida-43e6a</v>
      </c>
    </row>
    <row r="1789" spans="1:8" s="18" customFormat="1" ht="15" customHeight="1">
      <c r="A1789" s="11">
        <v>4734</v>
      </c>
      <c r="B1789" s="12" t="s">
        <v>1873</v>
      </c>
      <c r="C1789" s="13" t="s">
        <v>11</v>
      </c>
      <c r="D1789" s="14"/>
      <c r="E1789" s="9"/>
      <c r="F1789" s="9"/>
      <c r="G1789" s="13"/>
      <c r="H1789" s="14"/>
    </row>
    <row r="1790" spans="1:8" s="18" customFormat="1" ht="15" customHeight="1">
      <c r="A1790" s="11">
        <v>2964</v>
      </c>
      <c r="B1790" s="12" t="s">
        <v>1874</v>
      </c>
      <c r="C1790" s="13" t="s">
        <v>1086</v>
      </c>
      <c r="D1790" s="14"/>
      <c r="E1790" s="9">
        <v>281.3</v>
      </c>
      <c r="F1790" s="9">
        <f t="shared" si="56"/>
        <v>0</v>
      </c>
      <c r="G1790" s="13"/>
      <c r="H1790" s="14" t="str">
        <f>HYPERLINK("https://pulti.ua/dvd-blueray/pult-orion-dvd-087-originalnii")</f>
        <v>https://pulti.ua/dvd-blueray/pult-orion-dvd-087-originalnii</v>
      </c>
    </row>
    <row r="1791" spans="1:8" s="18" customFormat="1" ht="15" customHeight="1">
      <c r="A1791" s="11">
        <v>2272</v>
      </c>
      <c r="B1791" s="12" t="s">
        <v>1875</v>
      </c>
      <c r="C1791" s="13" t="s">
        <v>1095</v>
      </c>
      <c r="D1791" s="14"/>
      <c r="E1791" s="9">
        <v>243.8</v>
      </c>
      <c r="F1791" s="9">
        <f t="shared" si="56"/>
        <v>0</v>
      </c>
      <c r="G1791" s="13"/>
      <c r="H1791" s="14" t="str">
        <f>HYPERLINK("https://pulti.ua/domashnie-kinoteatry/pult-dlja-orion-ht-891-originalnii")</f>
        <v>https://pulti.ua/domashnie-kinoteatry/pult-dlja-orion-ht-891-originalnii</v>
      </c>
    </row>
    <row r="1792" spans="1:8" s="18" customFormat="1" ht="15" customHeight="1">
      <c r="A1792" s="11">
        <v>2966</v>
      </c>
      <c r="B1792" s="12" t="s">
        <v>1876</v>
      </c>
      <c r="C1792" s="13" t="s">
        <v>1086</v>
      </c>
      <c r="D1792" s="14"/>
      <c r="E1792" s="9">
        <v>225</v>
      </c>
      <c r="F1792" s="9">
        <f aca="true" t="shared" si="57" ref="F1792:F1855">D1792*E1792</f>
        <v>0</v>
      </c>
      <c r="G1792" s="13"/>
      <c r="H1792" s="14" t="str">
        <f>HYPERLINK("https://pulti.ua/dvd-blueray/pult-orion-plt-7051-originalnii")</f>
        <v>https://pulti.ua/dvd-blueray/pult-orion-plt-7051-originalnii</v>
      </c>
    </row>
    <row r="1793" spans="1:8" s="18" customFormat="1" ht="15" customHeight="1">
      <c r="A1793" s="11">
        <v>1445</v>
      </c>
      <c r="B1793" s="12" t="s">
        <v>1877</v>
      </c>
      <c r="C1793" s="13" t="s">
        <v>22</v>
      </c>
      <c r="D1793" s="14"/>
      <c r="E1793" s="9">
        <v>206.3</v>
      </c>
      <c r="F1793" s="9">
        <f t="shared" si="57"/>
        <v>0</v>
      </c>
      <c r="G1793" s="13"/>
      <c r="H1793" s="14" t="str">
        <f>HYPERLINK("https://pulti.ua/tv/pult-orion-plt7701-originalnii")</f>
        <v>https://pulti.ua/tv/pult-orion-plt7701-originalnii</v>
      </c>
    </row>
    <row r="1794" spans="1:8" s="18" customFormat="1" ht="15" customHeight="1">
      <c r="A1794" s="11">
        <v>4818</v>
      </c>
      <c r="B1794" s="12" t="s">
        <v>1261</v>
      </c>
      <c r="C1794" s="13" t="s">
        <v>965</v>
      </c>
      <c r="D1794" s="14"/>
      <c r="E1794" s="9">
        <v>75</v>
      </c>
      <c r="F1794" s="9">
        <f t="shared" si="57"/>
        <v>0</v>
      </c>
      <c r="G1794" s="13"/>
      <c r="H1794" s="14" t="str">
        <f>HYPERLINK("https://pulti.ua/mediapleery/originalniy-pult-ozone-hd")</f>
        <v>https://pulti.ua/mediapleery/originalniy-pult-ozone-hd</v>
      </c>
    </row>
    <row r="1795" spans="1:8" s="18" customFormat="1" ht="15" customHeight="1">
      <c r="A1795" s="11">
        <v>4735</v>
      </c>
      <c r="B1795" s="12" t="s">
        <v>1878</v>
      </c>
      <c r="C1795" s="13" t="s">
        <v>11</v>
      </c>
      <c r="D1795" s="14"/>
      <c r="E1795" s="9"/>
      <c r="F1795" s="9"/>
      <c r="G1795" s="13"/>
      <c r="H1795" s="14"/>
    </row>
    <row r="1796" spans="1:8" s="18" customFormat="1" ht="15" customHeight="1">
      <c r="A1796" s="11">
        <v>2295</v>
      </c>
      <c r="B1796" s="12" t="s">
        <v>1879</v>
      </c>
      <c r="C1796" s="13" t="s">
        <v>1086</v>
      </c>
      <c r="D1796" s="14"/>
      <c r="E1796" s="9">
        <v>656.3</v>
      </c>
      <c r="F1796" s="9">
        <f t="shared" si="57"/>
        <v>0</v>
      </c>
      <c r="G1796" s="13"/>
      <c r="H1796" s="14" t="str">
        <f>HYPERLINK("https://pulti.ua/dvd-blueray/pult-panasonic-eur7623x90-originalnii")</f>
        <v>https://pulti.ua/dvd-blueray/pult-panasonic-eur7623x90-originalnii</v>
      </c>
    </row>
    <row r="1797" spans="1:8" s="18" customFormat="1" ht="15" customHeight="1">
      <c r="A1797" s="11">
        <v>2890</v>
      </c>
      <c r="B1797" s="12" t="s">
        <v>1880</v>
      </c>
      <c r="C1797" s="13" t="s">
        <v>22</v>
      </c>
      <c r="D1797" s="14"/>
      <c r="E1797" s="9">
        <v>525</v>
      </c>
      <c r="F1797" s="9">
        <f t="shared" si="57"/>
        <v>0</v>
      </c>
      <c r="G1797" s="13"/>
      <c r="H1797" s="14" t="str">
        <f>HYPERLINK("https://pulti.ua/tv/pult-panasonic-eur7635040-originalnii")</f>
        <v>https://pulti.ua/tv/pult-panasonic-eur7635040-originalnii</v>
      </c>
    </row>
    <row r="1798" spans="1:8" s="18" customFormat="1" ht="15" customHeight="1">
      <c r="A1798" s="11">
        <v>4736</v>
      </c>
      <c r="B1798" s="12" t="s">
        <v>1881</v>
      </c>
      <c r="C1798" s="13" t="s">
        <v>11</v>
      </c>
      <c r="D1798" s="14"/>
      <c r="E1798" s="9"/>
      <c r="F1798" s="9"/>
      <c r="G1798" s="13"/>
      <c r="H1798" s="14"/>
    </row>
    <row r="1799" spans="1:8" s="18" customFormat="1" ht="15" customHeight="1">
      <c r="A1799" s="11">
        <v>4737</v>
      </c>
      <c r="B1799" s="12" t="s">
        <v>1882</v>
      </c>
      <c r="C1799" s="13" t="s">
        <v>1095</v>
      </c>
      <c r="D1799" s="14"/>
      <c r="E1799" s="9"/>
      <c r="F1799" s="9"/>
      <c r="G1799" s="13"/>
      <c r="H1799" s="14"/>
    </row>
    <row r="1800" spans="1:8" s="18" customFormat="1" ht="15" customHeight="1">
      <c r="A1800" s="11">
        <v>4738</v>
      </c>
      <c r="B1800" s="12" t="s">
        <v>1883</v>
      </c>
      <c r="C1800" s="13" t="s">
        <v>11</v>
      </c>
      <c r="D1800" s="14"/>
      <c r="E1800" s="9"/>
      <c r="F1800" s="9"/>
      <c r="G1800" s="13"/>
      <c r="H1800" s="14"/>
    </row>
    <row r="1801" spans="1:8" s="18" customFormat="1" ht="15" customHeight="1">
      <c r="A1801" s="11">
        <v>4739</v>
      </c>
      <c r="B1801" s="12" t="s">
        <v>1884</v>
      </c>
      <c r="C1801" s="13" t="s">
        <v>295</v>
      </c>
      <c r="D1801" s="14"/>
      <c r="E1801" s="9"/>
      <c r="F1801" s="9"/>
      <c r="G1801" s="13"/>
      <c r="H1801" s="14"/>
    </row>
    <row r="1802" spans="1:8" s="18" customFormat="1" ht="15" customHeight="1">
      <c r="A1802" s="11">
        <v>4740</v>
      </c>
      <c r="B1802" s="12" t="s">
        <v>1885</v>
      </c>
      <c r="C1802" s="13" t="s">
        <v>1106</v>
      </c>
      <c r="D1802" s="14"/>
      <c r="E1802" s="9"/>
      <c r="F1802" s="9"/>
      <c r="G1802" s="13"/>
      <c r="H1802" s="14"/>
    </row>
    <row r="1803" spans="1:8" s="18" customFormat="1" ht="15" customHeight="1">
      <c r="A1803" s="11">
        <v>4741</v>
      </c>
      <c r="B1803" s="12" t="s">
        <v>1886</v>
      </c>
      <c r="C1803" s="13" t="s">
        <v>295</v>
      </c>
      <c r="D1803" s="14"/>
      <c r="E1803" s="9"/>
      <c r="F1803" s="9"/>
      <c r="G1803" s="13"/>
      <c r="H1803" s="14"/>
    </row>
    <row r="1804" spans="1:8" s="18" customFormat="1" ht="15" customHeight="1">
      <c r="A1804" s="11">
        <v>2291</v>
      </c>
      <c r="B1804" s="12" t="s">
        <v>1887</v>
      </c>
      <c r="C1804" s="13" t="s">
        <v>1086</v>
      </c>
      <c r="D1804" s="14"/>
      <c r="E1804" s="9">
        <v>262.5</v>
      </c>
      <c r="F1804" s="9">
        <f t="shared" si="57"/>
        <v>0</v>
      </c>
      <c r="G1804" s="13"/>
      <c r="H1804" s="14" t="str">
        <f>HYPERLINK("https://pulti.ua/dvd-blueray/pult-panasonic-n2qayb000011-originalnii")</f>
        <v>https://pulti.ua/dvd-blueray/pult-panasonic-n2qayb000011-originalnii</v>
      </c>
    </row>
    <row r="1805" spans="1:8" s="18" customFormat="1" ht="15" customHeight="1">
      <c r="A1805" s="11">
        <v>4227</v>
      </c>
      <c r="B1805" s="12" t="s">
        <v>1888</v>
      </c>
      <c r="C1805" s="13" t="s">
        <v>11</v>
      </c>
      <c r="D1805" s="14"/>
      <c r="E1805" s="9">
        <v>180</v>
      </c>
      <c r="F1805" s="9">
        <f t="shared" si="57"/>
        <v>0</v>
      </c>
      <c r="G1805" s="13"/>
      <c r="H1805" s="14" t="str">
        <f>HYPERLINK("https://pulti.ua/tv/originalnyiy-pult-panasonic-n2qayb000486")</f>
        <v>https://pulti.ua/tv/originalnyiy-pult-panasonic-n2qayb000486</v>
      </c>
    </row>
    <row r="1806" spans="1:8" s="18" customFormat="1" ht="15" customHeight="1">
      <c r="A1806" s="11">
        <v>3606</v>
      </c>
      <c r="B1806" s="12" t="s">
        <v>1889</v>
      </c>
      <c r="C1806" s="13" t="s">
        <v>14</v>
      </c>
      <c r="D1806" s="14"/>
      <c r="E1806" s="9">
        <v>532.5</v>
      </c>
      <c r="F1806" s="9">
        <f t="shared" si="57"/>
        <v>0</v>
      </c>
      <c r="G1806" s="13"/>
      <c r="H1806" s="14" t="str">
        <f>HYPERLINK("https://pulti.ua/tv/pult-panasonic-n2qayb000803-originalnii")</f>
        <v>https://pulti.ua/tv/pult-panasonic-n2qayb000803-originalnii</v>
      </c>
    </row>
    <row r="1807" spans="1:8" s="18" customFormat="1" ht="15" customHeight="1">
      <c r="A1807" s="11">
        <v>3000</v>
      </c>
      <c r="B1807" s="12" t="s">
        <v>1890</v>
      </c>
      <c r="C1807" s="13" t="s">
        <v>14</v>
      </c>
      <c r="D1807" s="14"/>
      <c r="E1807" s="9">
        <v>911.3</v>
      </c>
      <c r="F1807" s="9">
        <f t="shared" si="57"/>
        <v>0</v>
      </c>
      <c r="G1807" s="13"/>
      <c r="H1807" s="14" t="str">
        <f>HYPERLINK("https://pulti.ua/tv/pult-philips-2422-549-90416-originalnii")</f>
        <v>https://pulti.ua/tv/pult-philips-2422-549-90416-originalnii</v>
      </c>
    </row>
    <row r="1808" spans="1:8" s="18" customFormat="1" ht="15" customHeight="1">
      <c r="A1808" s="11">
        <v>3691</v>
      </c>
      <c r="B1808" s="12" t="s">
        <v>1891</v>
      </c>
      <c r="C1808" s="13" t="s">
        <v>14</v>
      </c>
      <c r="D1808" s="14"/>
      <c r="E1808" s="9">
        <v>187.5</v>
      </c>
      <c r="F1808" s="9">
        <f t="shared" si="57"/>
        <v>0</v>
      </c>
      <c r="G1808" s="13"/>
      <c r="H1808" s="14" t="str">
        <f>HYPERLINK("https://pulti.ua/tv/pult-philips-2422-549-90547-originalnii")</f>
        <v>https://pulti.ua/tv/pult-philips-2422-549-90547-originalnii</v>
      </c>
    </row>
    <row r="1809" spans="1:8" s="18" customFormat="1" ht="15" customHeight="1">
      <c r="A1809" s="11">
        <v>4813</v>
      </c>
      <c r="B1809" s="12" t="s">
        <v>1892</v>
      </c>
      <c r="C1809" s="13" t="s">
        <v>14</v>
      </c>
      <c r="D1809" s="14"/>
      <c r="E1809" s="9">
        <v>675</v>
      </c>
      <c r="F1809" s="9">
        <f t="shared" si="57"/>
        <v>0</v>
      </c>
      <c r="G1809" s="13"/>
      <c r="H1809" s="14" t="str">
        <f>HYPERLINK("https://pulti.ua/tv/originalnyiy-pult-philips-2422-549-90636")</f>
        <v>https://pulti.ua/tv/originalnyiy-pult-philips-2422-549-90636</v>
      </c>
    </row>
    <row r="1810" spans="1:8" s="18" customFormat="1" ht="15" customHeight="1">
      <c r="A1810" s="11">
        <v>2316</v>
      </c>
      <c r="B1810" s="12" t="s">
        <v>1893</v>
      </c>
      <c r="C1810" s="13" t="s">
        <v>1095</v>
      </c>
      <c r="D1810" s="14"/>
      <c r="E1810" s="9">
        <v>150</v>
      </c>
      <c r="F1810" s="9">
        <f t="shared" si="57"/>
        <v>0</v>
      </c>
      <c r="G1810" s="13"/>
      <c r="H1810" s="14" t="str">
        <f>HYPERLINK("https://pulti.ua/domashnie-kinoteatry/pult-philips-2422-5490-1652-originalnii")</f>
        <v>https://pulti.ua/domashnie-kinoteatry/pult-philips-2422-5490-1652-originalnii</v>
      </c>
    </row>
    <row r="1811" spans="1:8" s="18" customFormat="1" ht="15" customHeight="1">
      <c r="A1811" s="11">
        <v>4515</v>
      </c>
      <c r="B1811" s="12" t="s">
        <v>1894</v>
      </c>
      <c r="C1811" s="13" t="s">
        <v>14</v>
      </c>
      <c r="D1811" s="14"/>
      <c r="E1811" s="9">
        <v>1687.5</v>
      </c>
      <c r="F1811" s="9">
        <f t="shared" si="57"/>
        <v>0</v>
      </c>
      <c r="G1811" s="13"/>
      <c r="H1811" s="14" t="str">
        <f>HYPERLINK("https://pulti.ua/tv/originalnyiy-pult-philips-398gf10beph10t")</f>
        <v>https://pulti.ua/tv/originalnyiy-pult-philips-398gf10beph10t</v>
      </c>
    </row>
    <row r="1812" spans="1:8" s="18" customFormat="1" ht="15" customHeight="1">
      <c r="A1812" s="11">
        <v>4763</v>
      </c>
      <c r="B1812" s="12" t="s">
        <v>1262</v>
      </c>
      <c r="C1812" s="13" t="s">
        <v>14</v>
      </c>
      <c r="D1812" s="14"/>
      <c r="E1812" s="9">
        <v>1875</v>
      </c>
      <c r="F1812" s="9">
        <f t="shared" si="57"/>
        <v>0</v>
      </c>
      <c r="G1812" s="13"/>
      <c r="H1812" s="14" t="str">
        <f>HYPERLINK("https://pulti.ua/tv/originalnyj-pult-philips-398gm10bephn0024ht")</f>
        <v>https://pulti.ua/tv/originalnyj-pult-philips-398gm10bephn0024ht</v>
      </c>
    </row>
    <row r="1813" spans="1:8" s="18" customFormat="1" ht="15" customHeight="1">
      <c r="A1813" s="11">
        <v>4514</v>
      </c>
      <c r="B1813" s="12" t="s">
        <v>1895</v>
      </c>
      <c r="C1813" s="13" t="s">
        <v>14</v>
      </c>
      <c r="D1813" s="14"/>
      <c r="E1813" s="9">
        <v>937.5</v>
      </c>
      <c r="F1813" s="9">
        <f t="shared" si="57"/>
        <v>0</v>
      </c>
      <c r="G1813" s="13"/>
      <c r="H1813" s="14" t="str">
        <f>HYPERLINK("https://pulti.ua/tv/originalnyiy-pult-philips-398gr08beph04t")</f>
        <v>https://pulti.ua/tv/originalnyiy-pult-philips-398gr08beph04t</v>
      </c>
    </row>
    <row r="1814" spans="1:8" s="18" customFormat="1" ht="15" customHeight="1">
      <c r="A1814" s="11">
        <v>4512</v>
      </c>
      <c r="B1814" s="12" t="s">
        <v>1896</v>
      </c>
      <c r="C1814" s="13" t="s">
        <v>22</v>
      </c>
      <c r="D1814" s="14"/>
      <c r="E1814" s="9">
        <v>750</v>
      </c>
      <c r="F1814" s="9">
        <f t="shared" si="57"/>
        <v>0</v>
      </c>
      <c r="G1814" s="13"/>
      <c r="H1814" s="14" t="str">
        <f>HYPERLINK("https://pulti.ua/tv/originalnyiy-pult-philips-hof16f671gpd24")</f>
        <v>https://pulti.ua/tv/originalnyiy-pult-philips-hof16f671gpd24</v>
      </c>
    </row>
    <row r="1815" spans="1:8" s="18" customFormat="1" ht="15" customHeight="1">
      <c r="A1815" s="11">
        <v>4742</v>
      </c>
      <c r="B1815" s="12" t="s">
        <v>1897</v>
      </c>
      <c r="C1815" s="13" t="s">
        <v>11</v>
      </c>
      <c r="D1815" s="14"/>
      <c r="E1815" s="9"/>
      <c r="F1815" s="9"/>
      <c r="G1815" s="13"/>
      <c r="H1815" s="14"/>
    </row>
    <row r="1816" spans="1:8" s="18" customFormat="1" ht="15" customHeight="1">
      <c r="A1816" s="11">
        <v>4743</v>
      </c>
      <c r="B1816" s="12" t="s">
        <v>1898</v>
      </c>
      <c r="C1816" s="13" t="s">
        <v>295</v>
      </c>
      <c r="D1816" s="14"/>
      <c r="E1816" s="9"/>
      <c r="F1816" s="9"/>
      <c r="G1816" s="13"/>
      <c r="H1816" s="14"/>
    </row>
    <row r="1817" spans="1:8" s="18" customFormat="1" ht="15" customHeight="1">
      <c r="A1817" s="11">
        <v>4744</v>
      </c>
      <c r="B1817" s="12" t="s">
        <v>1899</v>
      </c>
      <c r="C1817" s="13" t="s">
        <v>295</v>
      </c>
      <c r="D1817" s="14"/>
      <c r="E1817" s="9"/>
      <c r="F1817" s="9"/>
      <c r="G1817" s="13"/>
      <c r="H1817" s="14"/>
    </row>
    <row r="1818" spans="1:8" s="18" customFormat="1" ht="15" customHeight="1">
      <c r="A1818" s="11">
        <v>4745</v>
      </c>
      <c r="B1818" s="12" t="s">
        <v>1900</v>
      </c>
      <c r="C1818" s="13" t="s">
        <v>1086</v>
      </c>
      <c r="D1818" s="14"/>
      <c r="E1818" s="9"/>
      <c r="F1818" s="9"/>
      <c r="G1818" s="13"/>
      <c r="H1818" s="14"/>
    </row>
    <row r="1819" spans="1:8" s="18" customFormat="1" ht="15" customHeight="1">
      <c r="A1819" s="11">
        <v>4746</v>
      </c>
      <c r="B1819" s="12" t="s">
        <v>1901</v>
      </c>
      <c r="C1819" s="13" t="s">
        <v>11</v>
      </c>
      <c r="D1819" s="14"/>
      <c r="E1819" s="9"/>
      <c r="F1819" s="9"/>
      <c r="G1819" s="13"/>
      <c r="H1819" s="14"/>
    </row>
    <row r="1820" spans="1:8" s="18" customFormat="1" ht="15" customHeight="1">
      <c r="A1820" s="11">
        <v>4747</v>
      </c>
      <c r="B1820" s="12" t="s">
        <v>1902</v>
      </c>
      <c r="C1820" s="13" t="s">
        <v>11</v>
      </c>
      <c r="D1820" s="14"/>
      <c r="E1820" s="9"/>
      <c r="F1820" s="9"/>
      <c r="G1820" s="13"/>
      <c r="H1820" s="14"/>
    </row>
    <row r="1821" spans="1:8" s="18" customFormat="1" ht="15" customHeight="1">
      <c r="A1821" s="11">
        <v>1602</v>
      </c>
      <c r="B1821" s="12" t="s">
        <v>1903</v>
      </c>
      <c r="C1821" s="13" t="s">
        <v>22</v>
      </c>
      <c r="D1821" s="14"/>
      <c r="E1821" s="9">
        <v>836.3</v>
      </c>
      <c r="F1821" s="9">
        <f t="shared" si="57"/>
        <v>0</v>
      </c>
      <c r="G1821" s="13"/>
      <c r="H1821" s="14" t="str">
        <f>HYPERLINK("https://pulti.ua/tv/pult-philips-rc-434701-originalnii")</f>
        <v>https://pulti.ua/tv/pult-philips-rc-434701-originalnii</v>
      </c>
    </row>
    <row r="1822" spans="1:8" s="18" customFormat="1" ht="15" customHeight="1">
      <c r="A1822" s="11">
        <v>4748</v>
      </c>
      <c r="B1822" s="12" t="s">
        <v>1904</v>
      </c>
      <c r="C1822" s="13" t="s">
        <v>773</v>
      </c>
      <c r="D1822" s="14"/>
      <c r="E1822" s="9"/>
      <c r="F1822" s="9"/>
      <c r="G1822" s="13"/>
      <c r="H1822" s="14"/>
    </row>
    <row r="1823" spans="1:8" s="18" customFormat="1" ht="15" customHeight="1">
      <c r="A1823" s="11">
        <v>4749</v>
      </c>
      <c r="B1823" s="12" t="s">
        <v>1905</v>
      </c>
      <c r="C1823" s="13" t="s">
        <v>11</v>
      </c>
      <c r="D1823" s="14"/>
      <c r="E1823" s="9"/>
      <c r="F1823" s="9"/>
      <c r="G1823" s="13"/>
      <c r="H1823" s="14"/>
    </row>
    <row r="1824" spans="1:8" s="18" customFormat="1" ht="15" customHeight="1">
      <c r="A1824" s="11">
        <v>2329</v>
      </c>
      <c r="B1824" s="12" t="s">
        <v>1906</v>
      </c>
      <c r="C1824" s="13" t="s">
        <v>1257</v>
      </c>
      <c r="D1824" s="14"/>
      <c r="E1824" s="9">
        <v>787.5</v>
      </c>
      <c r="F1824" s="9">
        <f t="shared" si="57"/>
        <v>0</v>
      </c>
      <c r="G1824" s="13"/>
      <c r="H1824" s="14" t="str">
        <f>HYPERLINK("https://pulti.ua/domashnie-kinoteatry/pult-pioneer-axd7355-originalnii")</f>
        <v>https://pulti.ua/domashnie-kinoteatry/pult-pioneer-axd7355-originalnii</v>
      </c>
    </row>
    <row r="1825" spans="1:8" s="18" customFormat="1" ht="15" customHeight="1">
      <c r="A1825" s="11">
        <v>2330</v>
      </c>
      <c r="B1825" s="12" t="s">
        <v>1907</v>
      </c>
      <c r="C1825" s="13" t="s">
        <v>1257</v>
      </c>
      <c r="D1825" s="14"/>
      <c r="E1825" s="9">
        <v>787.5</v>
      </c>
      <c r="F1825" s="9">
        <f t="shared" si="57"/>
        <v>0</v>
      </c>
      <c r="G1825" s="13"/>
      <c r="H1825" s="14" t="str">
        <f>HYPERLINK("https://pulti.ua/domashnie-kinoteatry/pult-pioneer-axd7357-originalnii")</f>
        <v>https://pulti.ua/domashnie-kinoteatry/pult-pioneer-axd7357-originalnii</v>
      </c>
    </row>
    <row r="1826" spans="1:8" s="18" customFormat="1" ht="15" customHeight="1">
      <c r="A1826" s="11">
        <v>2331</v>
      </c>
      <c r="B1826" s="12" t="s">
        <v>1908</v>
      </c>
      <c r="C1826" s="13" t="s">
        <v>1257</v>
      </c>
      <c r="D1826" s="14"/>
      <c r="E1826" s="9">
        <v>450</v>
      </c>
      <c r="F1826" s="9">
        <f t="shared" si="57"/>
        <v>0</v>
      </c>
      <c r="G1826" s="13"/>
      <c r="H1826" s="14" t="str">
        <f>HYPERLINK("https://pulti.ua/domashnie-kinoteatry/pult-pioneer-axd7398-originalnii")</f>
        <v>https://pulti.ua/domashnie-kinoteatry/pult-pioneer-axd7398-originalnii</v>
      </c>
    </row>
    <row r="1827" spans="1:8" s="18" customFormat="1" ht="15" customHeight="1">
      <c r="A1827" s="11">
        <v>2333</v>
      </c>
      <c r="B1827" s="12" t="s">
        <v>1909</v>
      </c>
      <c r="C1827" s="13" t="s">
        <v>1086</v>
      </c>
      <c r="D1827" s="14"/>
      <c r="E1827" s="9">
        <v>262.5</v>
      </c>
      <c r="F1827" s="9">
        <f t="shared" si="57"/>
        <v>0</v>
      </c>
      <c r="G1827" s="13"/>
      <c r="H1827" s="14" t="str">
        <f>HYPERLINK("https://pulti.ua/dvd-blueray/pult-pioneer-cu-dv042-originalnii")</f>
        <v>https://pulti.ua/dvd-blueray/pult-pioneer-cu-dv042-originalnii</v>
      </c>
    </row>
    <row r="1828" spans="1:8" s="18" customFormat="1" ht="15" customHeight="1">
      <c r="A1828" s="11">
        <v>2335</v>
      </c>
      <c r="B1828" s="12" t="s">
        <v>1910</v>
      </c>
      <c r="C1828" s="13" t="s">
        <v>1086</v>
      </c>
      <c r="D1828" s="14"/>
      <c r="E1828" s="9">
        <v>300</v>
      </c>
      <c r="F1828" s="9">
        <f t="shared" si="57"/>
        <v>0</v>
      </c>
      <c r="G1828" s="13"/>
      <c r="H1828" s="14" t="str">
        <f>HYPERLINK("https://pulti.ua/dvd-blueray/pult-pioneer-vxx2700-originalnii")</f>
        <v>https://pulti.ua/dvd-blueray/pult-pioneer-vxx2700-originalnii</v>
      </c>
    </row>
    <row r="1829" spans="1:8" s="18" customFormat="1" ht="15" customHeight="1">
      <c r="A1829" s="11">
        <v>2336</v>
      </c>
      <c r="B1829" s="12" t="s">
        <v>1911</v>
      </c>
      <c r="C1829" s="13" t="s">
        <v>1086</v>
      </c>
      <c r="D1829" s="14"/>
      <c r="E1829" s="9">
        <v>262.5</v>
      </c>
      <c r="F1829" s="9">
        <f t="shared" si="57"/>
        <v>0</v>
      </c>
      <c r="G1829" s="13"/>
      <c r="H1829" s="14" t="str">
        <f>HYPERLINK("https://pulti.ua/dvd-blueray/pult-pioneer-vxx2702-originalnii")</f>
        <v>https://pulti.ua/dvd-blueray/pult-pioneer-vxx2702-originalnii</v>
      </c>
    </row>
    <row r="1830" spans="1:8" s="18" customFormat="1" ht="15" customHeight="1">
      <c r="A1830" s="11">
        <v>4750</v>
      </c>
      <c r="B1830" s="12" t="s">
        <v>1912</v>
      </c>
      <c r="C1830" s="13" t="s">
        <v>1257</v>
      </c>
      <c r="D1830" s="14"/>
      <c r="E1830" s="9"/>
      <c r="F1830" s="9"/>
      <c r="G1830" s="13"/>
      <c r="H1830" s="14"/>
    </row>
    <row r="1831" spans="1:8" s="18" customFormat="1" ht="15" customHeight="1">
      <c r="A1831" s="11">
        <v>2353</v>
      </c>
      <c r="B1831" s="12" t="s">
        <v>1913</v>
      </c>
      <c r="C1831" s="13" t="s">
        <v>1086</v>
      </c>
      <c r="D1831" s="14"/>
      <c r="E1831" s="9">
        <v>135</v>
      </c>
      <c r="F1831" s="9">
        <f t="shared" si="57"/>
        <v>0</v>
      </c>
      <c r="G1831" s="13"/>
      <c r="H1831" s="14" t="str">
        <f>HYPERLINK("https://pulti.ua/dvd-blueray/pult-polar-remote-02-dv-4020-originalnii")</f>
        <v>https://pulti.ua/dvd-blueray/pult-polar-remote-02-dv-4020-originalnii</v>
      </c>
    </row>
    <row r="1832" spans="1:8" s="18" customFormat="1" ht="15" customHeight="1">
      <c r="A1832" s="11">
        <v>2751</v>
      </c>
      <c r="B1832" s="12" t="s">
        <v>1914</v>
      </c>
      <c r="C1832" s="13" t="s">
        <v>11</v>
      </c>
      <c r="D1832" s="14"/>
      <c r="E1832" s="9">
        <v>123.8</v>
      </c>
      <c r="F1832" s="9">
        <f t="shared" si="57"/>
        <v>0</v>
      </c>
      <c r="G1832" s="13"/>
      <c r="H1832" s="14" t="str">
        <f>HYPERLINK("https://pulti.ua/tv/pult-dlja-rekord-rc-24b")</f>
        <v>https://pulti.ua/tv/pult-dlja-rekord-rc-24b</v>
      </c>
    </row>
    <row r="1833" spans="1:8" s="18" customFormat="1" ht="15" customHeight="1">
      <c r="A1833" s="11">
        <v>3189</v>
      </c>
      <c r="B1833" s="12" t="s">
        <v>1915</v>
      </c>
      <c r="C1833" s="13" t="s">
        <v>11</v>
      </c>
      <c r="D1833" s="14"/>
      <c r="E1833" s="9">
        <v>221.3</v>
      </c>
      <c r="F1833" s="9">
        <f t="shared" si="57"/>
        <v>0</v>
      </c>
      <c r="G1833" s="13"/>
      <c r="H1833" s="14" t="str">
        <f>HYPERLINK("https://pulti.ua/tv/pult-rolsen-k10n-c5--originalnii")</f>
        <v>https://pulti.ua/tv/pult-rolsen-k10n-c5--originalnii</v>
      </c>
    </row>
    <row r="1834" spans="1:8" s="18" customFormat="1" ht="15" customHeight="1">
      <c r="A1834" s="11">
        <v>3190</v>
      </c>
      <c r="B1834" s="12" t="s">
        <v>1916</v>
      </c>
      <c r="C1834" s="13" t="s">
        <v>11</v>
      </c>
      <c r="D1834" s="14"/>
      <c r="E1834" s="9">
        <v>221.3</v>
      </c>
      <c r="F1834" s="9">
        <f t="shared" si="57"/>
        <v>0</v>
      </c>
      <c r="G1834" s="13"/>
      <c r="H1834" s="14" t="str">
        <f>HYPERLINK("https://pulti.ua/tv/pult-rolsen-k11f-c9-originalnii")</f>
        <v>https://pulti.ua/tv/pult-rolsen-k11f-c9-originalnii</v>
      </c>
    </row>
    <row r="1835" spans="1:8" s="18" customFormat="1" ht="15" customHeight="1">
      <c r="A1835" s="11">
        <v>3192</v>
      </c>
      <c r="B1835" s="12" t="s">
        <v>1917</v>
      </c>
      <c r="C1835" s="13" t="s">
        <v>11</v>
      </c>
      <c r="D1835" s="14"/>
      <c r="E1835" s="9">
        <v>221.3</v>
      </c>
      <c r="F1835" s="9">
        <f t="shared" si="57"/>
        <v>0</v>
      </c>
      <c r="G1835" s="13"/>
      <c r="H1835" s="14" t="str">
        <f>HYPERLINK("https://pulti.ua/tv/pult-rolsen-kex1d-c23-originalnii-chernii")</f>
        <v>https://pulti.ua/tv/pult-rolsen-kex1d-c23-originalnii-chernii</v>
      </c>
    </row>
    <row r="1836" spans="1:8" s="18" customFormat="1" ht="15" customHeight="1">
      <c r="A1836" s="11">
        <v>3193</v>
      </c>
      <c r="B1836" s="12" t="s">
        <v>1918</v>
      </c>
      <c r="C1836" s="13" t="s">
        <v>11</v>
      </c>
      <c r="D1836" s="14"/>
      <c r="E1836" s="9">
        <v>221.3</v>
      </c>
      <c r="F1836" s="9">
        <f t="shared" si="57"/>
        <v>0</v>
      </c>
      <c r="G1836" s="13"/>
      <c r="H1836" s="14" t="str">
        <f>HYPERLINK("https://pulti.ua/tv/pult-rolsen-kex2c-c4---originalnii")</f>
        <v>https://pulti.ua/tv/pult-rolsen-kex2c-c4---originalnii</v>
      </c>
    </row>
    <row r="1837" spans="1:8" s="18" customFormat="1" ht="15" customHeight="1">
      <c r="A1837" s="11">
        <v>2418</v>
      </c>
      <c r="B1837" s="12" t="s">
        <v>1919</v>
      </c>
      <c r="C1837" s="13" t="s">
        <v>1086</v>
      </c>
      <c r="D1837" s="14"/>
      <c r="E1837" s="9">
        <v>412.5</v>
      </c>
      <c r="F1837" s="9">
        <f t="shared" si="57"/>
        <v>0</v>
      </c>
      <c r="G1837" s="13"/>
      <c r="H1837" s="14" t="str">
        <f>HYPERLINK("https://pulti.ua/dvd-blueray/pult--samsung-00070a-originalnii")</f>
        <v>https://pulti.ua/dvd-blueray/pult--samsung-00070a-originalnii</v>
      </c>
    </row>
    <row r="1838" spans="1:8" s="18" customFormat="1" ht="15" customHeight="1">
      <c r="A1838" s="11">
        <v>4680</v>
      </c>
      <c r="B1838" s="12" t="s">
        <v>1920</v>
      </c>
      <c r="C1838" s="13" t="s">
        <v>11</v>
      </c>
      <c r="D1838" s="14"/>
      <c r="E1838" s="9"/>
      <c r="F1838" s="9"/>
      <c r="G1838" s="13"/>
      <c r="H1838" s="14"/>
    </row>
    <row r="1839" spans="1:8" s="18" customFormat="1" ht="15" customHeight="1">
      <c r="A1839" s="11">
        <v>4681</v>
      </c>
      <c r="B1839" s="12" t="s">
        <v>1921</v>
      </c>
      <c r="C1839" s="13" t="s">
        <v>11</v>
      </c>
      <c r="D1839" s="14"/>
      <c r="E1839" s="9"/>
      <c r="F1839" s="9"/>
      <c r="G1839" s="13"/>
      <c r="H1839" s="14"/>
    </row>
    <row r="1840" spans="1:8" s="18" customFormat="1" ht="15" customHeight="1">
      <c r="A1840" s="11">
        <v>4682</v>
      </c>
      <c r="B1840" s="12" t="s">
        <v>1922</v>
      </c>
      <c r="C1840" s="13" t="s">
        <v>11</v>
      </c>
      <c r="D1840" s="14"/>
      <c r="E1840" s="9"/>
      <c r="F1840" s="9"/>
      <c r="G1840" s="13"/>
      <c r="H1840" s="14"/>
    </row>
    <row r="1841" spans="1:8" s="18" customFormat="1" ht="15" customHeight="1">
      <c r="A1841" s="11">
        <v>4683</v>
      </c>
      <c r="B1841" s="12" t="s">
        <v>1923</v>
      </c>
      <c r="C1841" s="13" t="s">
        <v>11</v>
      </c>
      <c r="D1841" s="14"/>
      <c r="E1841" s="9"/>
      <c r="F1841" s="9"/>
      <c r="G1841" s="13"/>
      <c r="H1841" s="14"/>
    </row>
    <row r="1842" spans="1:8" s="18" customFormat="1" ht="15" customHeight="1">
      <c r="A1842" s="11">
        <v>4684</v>
      </c>
      <c r="B1842" s="12" t="s">
        <v>1924</v>
      </c>
      <c r="C1842" s="13" t="s">
        <v>22</v>
      </c>
      <c r="D1842" s="14"/>
      <c r="E1842" s="9"/>
      <c r="F1842" s="9"/>
      <c r="G1842" s="13"/>
      <c r="H1842" s="14"/>
    </row>
    <row r="1843" spans="1:8" s="18" customFormat="1" ht="15" customHeight="1">
      <c r="A1843" s="11">
        <v>4685</v>
      </c>
      <c r="B1843" s="12" t="s">
        <v>1925</v>
      </c>
      <c r="C1843" s="13" t="s">
        <v>1095</v>
      </c>
      <c r="D1843" s="14"/>
      <c r="E1843" s="9"/>
      <c r="F1843" s="9"/>
      <c r="G1843" s="13"/>
      <c r="H1843" s="14"/>
    </row>
    <row r="1844" spans="1:8" s="18" customFormat="1" ht="15" customHeight="1">
      <c r="A1844" s="11">
        <v>2836</v>
      </c>
      <c r="B1844" s="12" t="s">
        <v>1926</v>
      </c>
      <c r="C1844" s="13" t="s">
        <v>1086</v>
      </c>
      <c r="D1844" s="14"/>
      <c r="E1844" s="9">
        <v>187.5</v>
      </c>
      <c r="F1844" s="9">
        <f t="shared" si="57"/>
        <v>0</v>
      </c>
      <c r="G1844" s="13"/>
      <c r="H1844" s="14" t="str">
        <f>HYPERLINK("https://pulti.ua/dvd-blueray/pult-samsung-ah59-01128d-originalnii")</f>
        <v>https://pulti.ua/dvd-blueray/pult-samsung-ah59-01128d-originalnii</v>
      </c>
    </row>
    <row r="1845" spans="1:8" s="18" customFormat="1" ht="15" customHeight="1">
      <c r="A1845" s="11">
        <v>4686</v>
      </c>
      <c r="B1845" s="12" t="s">
        <v>1927</v>
      </c>
      <c r="C1845" s="13" t="s">
        <v>1095</v>
      </c>
      <c r="D1845" s="14"/>
      <c r="E1845" s="9"/>
      <c r="F1845" s="9"/>
      <c r="G1845" s="13"/>
      <c r="H1845" s="14"/>
    </row>
    <row r="1846" spans="1:8" s="18" customFormat="1" ht="15" customHeight="1">
      <c r="A1846" s="11">
        <v>4687</v>
      </c>
      <c r="B1846" s="12" t="s">
        <v>1928</v>
      </c>
      <c r="C1846" s="13" t="s">
        <v>1095</v>
      </c>
      <c r="D1846" s="14"/>
      <c r="E1846" s="9"/>
      <c r="F1846" s="9"/>
      <c r="G1846" s="13"/>
      <c r="H1846" s="14"/>
    </row>
    <row r="1847" spans="1:8" s="18" customFormat="1" ht="15" customHeight="1">
      <c r="A1847" s="11">
        <v>4688</v>
      </c>
      <c r="B1847" s="12" t="s">
        <v>1929</v>
      </c>
      <c r="C1847" s="13" t="s">
        <v>1095</v>
      </c>
      <c r="D1847" s="14"/>
      <c r="E1847" s="9"/>
      <c r="F1847" s="9"/>
      <c r="G1847" s="13"/>
      <c r="H1847" s="14"/>
    </row>
    <row r="1848" spans="1:8" s="18" customFormat="1" ht="15" customHeight="1">
      <c r="A1848" s="11">
        <v>4689</v>
      </c>
      <c r="B1848" s="12" t="s">
        <v>1930</v>
      </c>
      <c r="C1848" s="13" t="s">
        <v>1095</v>
      </c>
      <c r="D1848" s="14"/>
      <c r="E1848" s="9"/>
      <c r="F1848" s="9"/>
      <c r="G1848" s="13"/>
      <c r="H1848" s="14"/>
    </row>
    <row r="1849" spans="1:8" s="18" customFormat="1" ht="15" customHeight="1">
      <c r="A1849" s="11">
        <v>4690</v>
      </c>
      <c r="B1849" s="12" t="s">
        <v>1931</v>
      </c>
      <c r="C1849" s="13" t="s">
        <v>1095</v>
      </c>
      <c r="D1849" s="14"/>
      <c r="E1849" s="9"/>
      <c r="F1849" s="9"/>
      <c r="G1849" s="13"/>
      <c r="H1849" s="14"/>
    </row>
    <row r="1850" spans="1:8" s="18" customFormat="1" ht="15" customHeight="1">
      <c r="A1850" s="11">
        <v>3373</v>
      </c>
      <c r="B1850" s="12" t="s">
        <v>1932</v>
      </c>
      <c r="C1850" s="13" t="s">
        <v>1095</v>
      </c>
      <c r="D1850" s="14"/>
      <c r="E1850" s="9">
        <v>562.5</v>
      </c>
      <c r="F1850" s="9">
        <f t="shared" si="57"/>
        <v>0</v>
      </c>
      <c r="G1850" s="13"/>
      <c r="H1850" s="14" t="str">
        <f>HYPERLINK("https://pulti.ua/domashnie-kinoteatry/pult-samsung-ah59-01527g-originalnii")</f>
        <v>https://pulti.ua/domashnie-kinoteatry/pult-samsung-ah59-01527g-originalnii</v>
      </c>
    </row>
    <row r="1851" spans="1:8" s="18" customFormat="1" ht="15" customHeight="1">
      <c r="A1851" s="11">
        <v>4691</v>
      </c>
      <c r="B1851" s="12" t="s">
        <v>1933</v>
      </c>
      <c r="C1851" s="13" t="s">
        <v>1095</v>
      </c>
      <c r="D1851" s="14"/>
      <c r="E1851" s="9"/>
      <c r="F1851" s="9"/>
      <c r="G1851" s="13"/>
      <c r="H1851" s="14"/>
    </row>
    <row r="1852" spans="1:8" s="18" customFormat="1" ht="15" customHeight="1">
      <c r="A1852" s="11">
        <v>4692</v>
      </c>
      <c r="B1852" s="12" t="s">
        <v>1934</v>
      </c>
      <c r="C1852" s="13" t="s">
        <v>1095</v>
      </c>
      <c r="D1852" s="14"/>
      <c r="E1852" s="9"/>
      <c r="F1852" s="9"/>
      <c r="G1852" s="13"/>
      <c r="H1852" s="14"/>
    </row>
    <row r="1853" spans="1:8" s="18" customFormat="1" ht="15" customHeight="1">
      <c r="A1853" s="11">
        <v>4693</v>
      </c>
      <c r="B1853" s="12" t="s">
        <v>1935</v>
      </c>
      <c r="C1853" s="13" t="s">
        <v>1095</v>
      </c>
      <c r="D1853" s="14"/>
      <c r="E1853" s="9"/>
      <c r="F1853" s="9"/>
      <c r="G1853" s="13"/>
      <c r="H1853" s="14"/>
    </row>
    <row r="1854" spans="1:8" s="18" customFormat="1" ht="15" customHeight="1">
      <c r="A1854" s="11">
        <v>4694</v>
      </c>
      <c r="B1854" s="12" t="s">
        <v>1936</v>
      </c>
      <c r="C1854" s="13" t="s">
        <v>1095</v>
      </c>
      <c r="D1854" s="14"/>
      <c r="E1854" s="9"/>
      <c r="F1854" s="9"/>
      <c r="G1854" s="13"/>
      <c r="H1854" s="14"/>
    </row>
    <row r="1855" spans="1:8" s="18" customFormat="1" ht="15" customHeight="1">
      <c r="A1855" s="11">
        <v>4695</v>
      </c>
      <c r="B1855" s="12" t="s">
        <v>1937</v>
      </c>
      <c r="C1855" s="13" t="s">
        <v>1095</v>
      </c>
      <c r="D1855" s="14"/>
      <c r="E1855" s="9"/>
      <c r="F1855" s="9"/>
      <c r="G1855" s="13"/>
      <c r="H1855" s="14"/>
    </row>
    <row r="1856" spans="1:8" s="18" customFormat="1" ht="15" customHeight="1">
      <c r="A1856" s="11">
        <v>2422</v>
      </c>
      <c r="B1856" s="12" t="s">
        <v>1938</v>
      </c>
      <c r="C1856" s="13" t="s">
        <v>1095</v>
      </c>
      <c r="D1856" s="14"/>
      <c r="E1856" s="9">
        <v>468.8</v>
      </c>
      <c r="F1856" s="9">
        <f aca="true" t="shared" si="58" ref="F1856:F1879">D1856*E1856</f>
        <v>0</v>
      </c>
      <c r="G1856" s="13"/>
      <c r="H1856" s="14" t="str">
        <f>HYPERLINK("https://pulti.ua/domashnie-kinoteatry/pult-samsung-ah59-02296a-originalnii")</f>
        <v>https://pulti.ua/domashnie-kinoteatry/pult-samsung-ah59-02296a-originalnii</v>
      </c>
    </row>
    <row r="1857" spans="1:8" s="18" customFormat="1" ht="15" customHeight="1">
      <c r="A1857" s="11">
        <v>3291</v>
      </c>
      <c r="B1857" s="12" t="s">
        <v>1939</v>
      </c>
      <c r="C1857" s="13" t="s">
        <v>1095</v>
      </c>
      <c r="D1857" s="14"/>
      <c r="E1857" s="9">
        <v>468.8</v>
      </c>
      <c r="F1857" s="9">
        <f t="shared" si="58"/>
        <v>0</v>
      </c>
      <c r="G1857" s="13"/>
      <c r="H1857" s="14" t="str">
        <f>HYPERLINK("https://pulti.ua/domashnie-kinoteatry/pult-samsung-ah59-02338a--originalnii")</f>
        <v>https://pulti.ua/domashnie-kinoteatry/pult-samsung-ah59-02338a--originalnii</v>
      </c>
    </row>
    <row r="1858" spans="1:8" s="18" customFormat="1" ht="15" customHeight="1">
      <c r="A1858" s="11">
        <v>3293</v>
      </c>
      <c r="B1858" s="12" t="s">
        <v>1940</v>
      </c>
      <c r="C1858" s="13" t="s">
        <v>1095</v>
      </c>
      <c r="D1858" s="14"/>
      <c r="E1858" s="9">
        <v>393.8</v>
      </c>
      <c r="F1858" s="9">
        <f t="shared" si="58"/>
        <v>0</v>
      </c>
      <c r="G1858" s="13"/>
      <c r="H1858" s="14" t="str">
        <f>HYPERLINK("https://pulti.ua/domashnie-kinoteatry/pult-samsung-ah59-02345a-originalnii")</f>
        <v>https://pulti.ua/domashnie-kinoteatry/pult-samsung-ah59-02345a-originalnii</v>
      </c>
    </row>
    <row r="1859" spans="1:8" s="18" customFormat="1" ht="15" customHeight="1">
      <c r="A1859" s="11">
        <v>3294</v>
      </c>
      <c r="B1859" s="12" t="s">
        <v>1941</v>
      </c>
      <c r="C1859" s="13" t="s">
        <v>1095</v>
      </c>
      <c r="D1859" s="14"/>
      <c r="E1859" s="9">
        <v>393.8</v>
      </c>
      <c r="F1859" s="9">
        <f t="shared" si="58"/>
        <v>0</v>
      </c>
      <c r="G1859" s="13"/>
      <c r="H1859" s="14" t="str">
        <f>HYPERLINK("https://pulti.ua/domashnie-kinoteatry/pult-samsung-ah59-02351a-originalnii")</f>
        <v>https://pulti.ua/domashnie-kinoteatry/pult-samsung-ah59-02351a-originalnii</v>
      </c>
    </row>
    <row r="1860" spans="1:8" s="18" customFormat="1" ht="15" customHeight="1">
      <c r="A1860" s="11">
        <v>4696</v>
      </c>
      <c r="B1860" s="12" t="s">
        <v>1942</v>
      </c>
      <c r="C1860" s="13" t="s">
        <v>1106</v>
      </c>
      <c r="D1860" s="14"/>
      <c r="E1860" s="9"/>
      <c r="F1860" s="9"/>
      <c r="G1860" s="13"/>
      <c r="H1860" s="14"/>
    </row>
    <row r="1861" spans="1:8" s="18" customFormat="1" ht="15" customHeight="1">
      <c r="A1861" s="11">
        <v>2837</v>
      </c>
      <c r="B1861" s="12" t="s">
        <v>1943</v>
      </c>
      <c r="C1861" s="13" t="s">
        <v>1197</v>
      </c>
      <c r="D1861" s="14"/>
      <c r="E1861" s="9">
        <v>187.5</v>
      </c>
      <c r="F1861" s="9">
        <f t="shared" si="58"/>
        <v>0</v>
      </c>
      <c r="G1861" s="13"/>
      <c r="H1861" s="14" t="str">
        <f>HYPERLINK("https://pulti.ua/dvd-blueray/pult-samsung-ak59-00002h-originalnii")</f>
        <v>https://pulti.ua/dvd-blueray/pult-samsung-ak59-00002h-originalnii</v>
      </c>
    </row>
    <row r="1862" spans="1:8" s="18" customFormat="1" ht="15" customHeight="1">
      <c r="A1862" s="11">
        <v>4697</v>
      </c>
      <c r="B1862" s="12" t="s">
        <v>1944</v>
      </c>
      <c r="C1862" s="13" t="s">
        <v>1197</v>
      </c>
      <c r="D1862" s="14"/>
      <c r="E1862" s="9"/>
      <c r="F1862" s="9"/>
      <c r="G1862" s="13"/>
      <c r="H1862" s="14"/>
    </row>
    <row r="1863" spans="1:8" s="18" customFormat="1" ht="15" customHeight="1">
      <c r="A1863" s="11">
        <v>4698</v>
      </c>
      <c r="B1863" s="12" t="s">
        <v>1945</v>
      </c>
      <c r="C1863" s="13" t="s">
        <v>1197</v>
      </c>
      <c r="D1863" s="14"/>
      <c r="E1863" s="9"/>
      <c r="F1863" s="9"/>
      <c r="G1863" s="13"/>
      <c r="H1863" s="14"/>
    </row>
    <row r="1864" spans="1:8" s="18" customFormat="1" ht="15" customHeight="1">
      <c r="A1864" s="11">
        <v>4699</v>
      </c>
      <c r="B1864" s="12" t="s">
        <v>1946</v>
      </c>
      <c r="C1864" s="13" t="s">
        <v>11</v>
      </c>
      <c r="D1864" s="14"/>
      <c r="E1864" s="9"/>
      <c r="F1864" s="9"/>
      <c r="G1864" s="13"/>
      <c r="H1864" s="14"/>
    </row>
    <row r="1865" spans="1:8" s="18" customFormat="1" ht="15" customHeight="1">
      <c r="A1865" s="11">
        <v>4700</v>
      </c>
      <c r="B1865" s="12" t="s">
        <v>1947</v>
      </c>
      <c r="C1865" s="13" t="s">
        <v>11</v>
      </c>
      <c r="D1865" s="14"/>
      <c r="E1865" s="9"/>
      <c r="F1865" s="9"/>
      <c r="G1865" s="13"/>
      <c r="H1865" s="14"/>
    </row>
    <row r="1866" spans="1:8" s="18" customFormat="1" ht="15" customHeight="1">
      <c r="A1866" s="11">
        <v>4701</v>
      </c>
      <c r="B1866" s="12" t="s">
        <v>1948</v>
      </c>
      <c r="C1866" s="13" t="s">
        <v>11</v>
      </c>
      <c r="D1866" s="14"/>
      <c r="E1866" s="9"/>
      <c r="F1866" s="9"/>
      <c r="G1866" s="13"/>
      <c r="H1866" s="14"/>
    </row>
    <row r="1867" spans="1:8" s="18" customFormat="1" ht="15" customHeight="1">
      <c r="A1867" s="11">
        <v>4702</v>
      </c>
      <c r="B1867" s="12" t="s">
        <v>1949</v>
      </c>
      <c r="C1867" s="13" t="s">
        <v>11</v>
      </c>
      <c r="D1867" s="14"/>
      <c r="E1867" s="9"/>
      <c r="F1867" s="9"/>
      <c r="G1867" s="13"/>
      <c r="H1867" s="14"/>
    </row>
    <row r="1868" spans="1:8" s="18" customFormat="1" ht="15" customHeight="1">
      <c r="A1868" s="11">
        <v>4703</v>
      </c>
      <c r="B1868" s="12" t="s">
        <v>1950</v>
      </c>
      <c r="C1868" s="13" t="s">
        <v>22</v>
      </c>
      <c r="D1868" s="14"/>
      <c r="E1868" s="9"/>
      <c r="F1868" s="9"/>
      <c r="G1868" s="13"/>
      <c r="H1868" s="14"/>
    </row>
    <row r="1869" spans="1:8" s="18" customFormat="1" ht="15" customHeight="1">
      <c r="A1869" s="11">
        <v>4704</v>
      </c>
      <c r="B1869" s="12" t="s">
        <v>1951</v>
      </c>
      <c r="C1869" s="13" t="s">
        <v>22</v>
      </c>
      <c r="D1869" s="14"/>
      <c r="E1869" s="9"/>
      <c r="F1869" s="9"/>
      <c r="G1869" s="13"/>
      <c r="H1869" s="14"/>
    </row>
    <row r="1870" spans="1:8" s="18" customFormat="1" ht="15" customHeight="1">
      <c r="A1870" s="11">
        <v>1795</v>
      </c>
      <c r="B1870" s="12" t="s">
        <v>1952</v>
      </c>
      <c r="C1870" s="13" t="s">
        <v>22</v>
      </c>
      <c r="D1870" s="14"/>
      <c r="E1870" s="9">
        <v>573.8</v>
      </c>
      <c r="F1870" s="9">
        <f t="shared" si="58"/>
        <v>0</v>
      </c>
      <c r="G1870" s="13"/>
      <c r="H1870" s="14" t="str">
        <f>HYPERLINK("https://pulti.ua/tv/pult-samsung-bn59-00676b-originalnii")</f>
        <v>https://pulti.ua/tv/pult-samsung-bn59-00676b-originalnii</v>
      </c>
    </row>
    <row r="1871" spans="1:8" s="18" customFormat="1" ht="15" customHeight="1">
      <c r="A1871" s="11">
        <v>1796</v>
      </c>
      <c r="B1871" s="12" t="s">
        <v>1953</v>
      </c>
      <c r="C1871" s="13" t="s">
        <v>22</v>
      </c>
      <c r="D1871" s="14"/>
      <c r="E1871" s="9">
        <v>573.8</v>
      </c>
      <c r="F1871" s="9">
        <f t="shared" si="58"/>
        <v>0</v>
      </c>
      <c r="G1871" s="13"/>
      <c r="H1871" s="14" t="str">
        <f>HYPERLINK("https://pulti.ua/tv/pult-samsung-bn59-00683a--originalnii")</f>
        <v>https://pulti.ua/tv/pult-samsung-bn59-00683a--originalnii</v>
      </c>
    </row>
    <row r="1872" spans="1:8" s="18" customFormat="1" ht="15" customHeight="1">
      <c r="A1872" s="11">
        <v>1797</v>
      </c>
      <c r="B1872" s="12" t="s">
        <v>1954</v>
      </c>
      <c r="C1872" s="13" t="s">
        <v>22</v>
      </c>
      <c r="D1872" s="14"/>
      <c r="E1872" s="9">
        <v>573.8</v>
      </c>
      <c r="F1872" s="9">
        <f t="shared" si="58"/>
        <v>0</v>
      </c>
      <c r="G1872" s="13"/>
      <c r="H1872" s="14" t="str">
        <f>HYPERLINK("https://pulti.ua/tv/pult-samsung-bn59-00684b--originalnii")</f>
        <v>https://pulti.ua/tv/pult-samsung-bn59-00684b--originalnii</v>
      </c>
    </row>
    <row r="1873" spans="1:8" s="18" customFormat="1" ht="15" customHeight="1">
      <c r="A1873" s="11">
        <v>1798</v>
      </c>
      <c r="B1873" s="12" t="s">
        <v>1955</v>
      </c>
      <c r="C1873" s="13" t="s">
        <v>22</v>
      </c>
      <c r="D1873" s="14"/>
      <c r="E1873" s="9">
        <v>611.3</v>
      </c>
      <c r="F1873" s="9">
        <f t="shared" si="58"/>
        <v>0</v>
      </c>
      <c r="G1873" s="13"/>
      <c r="H1873" s="14" t="str">
        <f>HYPERLINK("https://pulti.ua/tv/pult-samsung-bn59-00685a--originalnii")</f>
        <v>https://pulti.ua/tv/pult-samsung-bn59-00685a--originalnii</v>
      </c>
    </row>
    <row r="1874" spans="1:8" s="18" customFormat="1" ht="15" customHeight="1">
      <c r="A1874" s="11">
        <v>1799</v>
      </c>
      <c r="B1874" s="12" t="s">
        <v>1956</v>
      </c>
      <c r="C1874" s="13" t="s">
        <v>22</v>
      </c>
      <c r="D1874" s="14"/>
      <c r="E1874" s="9">
        <v>611.3</v>
      </c>
      <c r="F1874" s="9">
        <f t="shared" si="58"/>
        <v>0</v>
      </c>
      <c r="G1874" s="13"/>
      <c r="H1874" s="14" t="str">
        <f>HYPERLINK("https://pulti.ua/tv/pult-samsung-bn59-00705a--originalnii")</f>
        <v>https://pulti.ua/tv/pult-samsung-bn59-00705a--originalnii</v>
      </c>
    </row>
    <row r="1875" spans="1:8" s="18" customFormat="1" ht="15" customHeight="1">
      <c r="A1875" s="11">
        <v>1800</v>
      </c>
      <c r="B1875" s="12" t="s">
        <v>1957</v>
      </c>
      <c r="C1875" s="13" t="s">
        <v>22</v>
      </c>
      <c r="D1875" s="14"/>
      <c r="E1875" s="9">
        <v>611.3</v>
      </c>
      <c r="F1875" s="9">
        <f t="shared" si="58"/>
        <v>0</v>
      </c>
      <c r="G1875" s="13"/>
      <c r="H1875" s="14" t="str">
        <f>HYPERLINK("https://pulti.ua/tv/pult-samsung-bn59-00705b--originalnii")</f>
        <v>https://pulti.ua/tv/pult-samsung-bn59-00705b--originalnii</v>
      </c>
    </row>
    <row r="1876" spans="1:8" s="18" customFormat="1" ht="15" customHeight="1">
      <c r="A1876" s="11">
        <v>1803</v>
      </c>
      <c r="B1876" s="12" t="s">
        <v>1958</v>
      </c>
      <c r="C1876" s="13" t="s">
        <v>22</v>
      </c>
      <c r="D1876" s="14"/>
      <c r="E1876" s="9">
        <v>611.3</v>
      </c>
      <c r="F1876" s="9">
        <f t="shared" si="58"/>
        <v>0</v>
      </c>
      <c r="G1876" s="13"/>
      <c r="H1876" s="14" t="str">
        <f>HYPERLINK("https://pulti.ua/tv/pult-samsung-bn59-00886a--originalnii")</f>
        <v>https://pulti.ua/tv/pult-samsung-bn59-00886a--originalnii</v>
      </c>
    </row>
    <row r="1877" spans="1:8" s="18" customFormat="1" ht="15" customHeight="1">
      <c r="A1877" s="11">
        <v>1813</v>
      </c>
      <c r="B1877" s="12" t="s">
        <v>1959</v>
      </c>
      <c r="C1877" s="13" t="s">
        <v>14</v>
      </c>
      <c r="D1877" s="14"/>
      <c r="E1877" s="9">
        <v>536.3</v>
      </c>
      <c r="F1877" s="9">
        <f t="shared" si="58"/>
        <v>0</v>
      </c>
      <c r="G1877" s="13"/>
      <c r="H1877" s="14" t="str">
        <f>HYPERLINK("https://pulti.ua/tv/pult-samsung-bn59-01036a-originalnii")</f>
        <v>https://pulti.ua/tv/pult-samsung-bn59-01036a-originalnii</v>
      </c>
    </row>
    <row r="1878" spans="1:8" s="18" customFormat="1" ht="15" customHeight="1">
      <c r="A1878" s="11">
        <v>1821</v>
      </c>
      <c r="B1878" s="12" t="s">
        <v>1960</v>
      </c>
      <c r="C1878" s="13" t="s">
        <v>22</v>
      </c>
      <c r="D1878" s="14"/>
      <c r="E1878" s="9">
        <v>318.8</v>
      </c>
      <c r="F1878" s="9">
        <f t="shared" si="58"/>
        <v>0</v>
      </c>
      <c r="G1878" s="13"/>
      <c r="H1878" s="14" t="str">
        <f>HYPERLINK("https://pulti.ua/tv/pult-samsung-bn59-01084a-originalnii")</f>
        <v>https://pulti.ua/tv/pult-samsung-bn59-01084a-originalnii</v>
      </c>
    </row>
    <row r="1879" spans="1:8" s="18" customFormat="1" ht="15" customHeight="1">
      <c r="A1879" s="11">
        <v>1823</v>
      </c>
      <c r="B1879" s="12" t="s">
        <v>1961</v>
      </c>
      <c r="C1879" s="13" t="s">
        <v>22</v>
      </c>
      <c r="D1879" s="14"/>
      <c r="E1879" s="9">
        <v>536.3</v>
      </c>
      <c r="F1879" s="9">
        <f t="shared" si="58"/>
        <v>0</v>
      </c>
      <c r="G1879" s="13"/>
      <c r="H1879" s="14" t="str">
        <f>HYPERLINK("https://pulti.ua/tv/pult-samsung-bn59-01110a---3d--originalnii")</f>
        <v>https://pulti.ua/tv/pult-samsung-bn59-01110a---3d--originalnii</v>
      </c>
    </row>
    <row r="1880" spans="1:8" s="18" customFormat="1" ht="15" customHeight="1">
      <c r="A1880" s="11">
        <v>4298</v>
      </c>
      <c r="B1880" s="12" t="s">
        <v>1962</v>
      </c>
      <c r="C1880" s="13" t="s">
        <v>11</v>
      </c>
      <c r="D1880" s="15" t="s">
        <v>1599</v>
      </c>
      <c r="E1880" s="9">
        <v>1875</v>
      </c>
      <c r="F1880" s="9"/>
      <c r="G1880" s="13"/>
      <c r="H1880" s="14" t="str">
        <f>HYPERLINK("https://pulti.ua/tv/originalnyiy-pult-samsung-bn59-01274a")</f>
        <v>https://pulti.ua/tv/originalnyiy-pult-samsung-bn59-01274a</v>
      </c>
    </row>
    <row r="1881" spans="1:8" s="18" customFormat="1" ht="15" customHeight="1">
      <c r="A1881" s="11">
        <v>4448</v>
      </c>
      <c r="B1881" s="12" t="s">
        <v>1963</v>
      </c>
      <c r="C1881" s="13" t="s">
        <v>14</v>
      </c>
      <c r="D1881" s="14"/>
      <c r="E1881" s="9">
        <v>1875</v>
      </c>
      <c r="F1881" s="9">
        <f aca="true" t="shared" si="59" ref="F1881:F1944">D1881*E1881</f>
        <v>0</v>
      </c>
      <c r="G1881" s="13"/>
      <c r="H1881" s="14" t="str">
        <f>HYPERLINK("https://pulti.ua/tv/originalnyiy-pult-samsung-bn59-01312b")</f>
        <v>https://pulti.ua/tv/originalnyiy-pult-samsung-bn59-01312b</v>
      </c>
    </row>
    <row r="1882" spans="1:8" s="18" customFormat="1" ht="15" customHeight="1">
      <c r="A1882" s="11">
        <v>4530</v>
      </c>
      <c r="B1882" s="12" t="s">
        <v>1964</v>
      </c>
      <c r="C1882" s="13" t="s">
        <v>14</v>
      </c>
      <c r="D1882" s="14"/>
      <c r="E1882" s="9">
        <v>1875</v>
      </c>
      <c r="F1882" s="9">
        <f t="shared" si="59"/>
        <v>0</v>
      </c>
      <c r="G1882" s="13"/>
      <c r="H1882" s="14" t="str">
        <f>HYPERLINK("https://pulti.ua/tv/originalnyiy-pult-samsung-bn59-01312f")</f>
        <v>https://pulti.ua/tv/originalnyiy-pult-samsung-bn59-01312f</v>
      </c>
    </row>
    <row r="1883" spans="1:8" s="18" customFormat="1" ht="15" customHeight="1">
      <c r="A1883" s="11">
        <v>3449</v>
      </c>
      <c r="B1883" s="12" t="s">
        <v>1965</v>
      </c>
      <c r="C1883" s="13" t="s">
        <v>14</v>
      </c>
      <c r="D1883" s="14"/>
      <c r="E1883" s="9">
        <v>2043.8</v>
      </c>
      <c r="F1883" s="9">
        <f t="shared" si="59"/>
        <v>0</v>
      </c>
      <c r="G1883" s="13"/>
      <c r="H1883" s="14" t="str">
        <f>HYPERLINK("https://pulti.ua/tv/originalnyj-pult-samsung-bn59-01312h")</f>
        <v>https://pulti.ua/tv/originalnyj-pult-samsung-bn59-01312h</v>
      </c>
    </row>
    <row r="1884" spans="1:8" s="18" customFormat="1" ht="15" customHeight="1">
      <c r="A1884" s="11">
        <v>4760</v>
      </c>
      <c r="B1884" s="12" t="s">
        <v>1966</v>
      </c>
      <c r="C1884" s="13" t="s">
        <v>14</v>
      </c>
      <c r="D1884" s="14"/>
      <c r="E1884" s="9">
        <v>2025</v>
      </c>
      <c r="F1884" s="9">
        <f t="shared" si="59"/>
        <v>0</v>
      </c>
      <c r="G1884" s="13"/>
      <c r="H1884" s="14" t="str">
        <f>HYPERLINK("https://pulti.ua/tv/originalnyj-pult-samsung-bn59-01330b")</f>
        <v>https://pulti.ua/tv/originalnyj-pult-samsung-bn59-01330b</v>
      </c>
    </row>
    <row r="1885" spans="1:8" s="18" customFormat="1" ht="15" customHeight="1">
      <c r="A1885" s="11">
        <v>4705</v>
      </c>
      <c r="B1885" s="12" t="s">
        <v>1967</v>
      </c>
      <c r="C1885" s="13" t="s">
        <v>11</v>
      </c>
      <c r="D1885" s="14"/>
      <c r="E1885" s="9"/>
      <c r="F1885" s="9"/>
      <c r="G1885" s="13"/>
      <c r="H1885" s="14"/>
    </row>
    <row r="1886" spans="1:8" s="18" customFormat="1" ht="15" customHeight="1">
      <c r="A1886" s="11">
        <v>2542</v>
      </c>
      <c r="B1886" s="12" t="s">
        <v>1968</v>
      </c>
      <c r="C1886" s="13" t="s">
        <v>905</v>
      </c>
      <c r="D1886" s="14"/>
      <c r="E1886" s="9">
        <v>386.3</v>
      </c>
      <c r="F1886" s="9">
        <f t="shared" si="59"/>
        <v>0</v>
      </c>
      <c r="G1886" s="13"/>
      <c r="H1886" s="14" t="str">
        <f>HYPERLINK("https://pulti.ua/tyunera/pult-samsung-gl59-00096a-originalnii")</f>
        <v>https://pulti.ua/tyunera/pult-samsung-gl59-00096a-originalnii</v>
      </c>
    </row>
    <row r="1887" spans="1:8" s="18" customFormat="1" ht="15" customHeight="1">
      <c r="A1887" s="11">
        <v>2426</v>
      </c>
      <c r="B1887" s="12" t="s">
        <v>1969</v>
      </c>
      <c r="C1887" s="13" t="s">
        <v>1086</v>
      </c>
      <c r="D1887" s="14"/>
      <c r="E1887" s="9">
        <v>468.8</v>
      </c>
      <c r="F1887" s="9">
        <f t="shared" si="59"/>
        <v>0</v>
      </c>
      <c r="G1887" s="13"/>
      <c r="H1887" s="14" t="str">
        <f>HYPERLINK("https://pulti.ua/dvd-blueray/pult-samsung-gl59-00117a-originalnii")</f>
        <v>https://pulti.ua/dvd-blueray/pult-samsung-gl59-00117a-originalnii</v>
      </c>
    </row>
    <row r="1888" spans="1:8" s="18" customFormat="1" ht="15" customHeight="1">
      <c r="A1888" s="11">
        <v>4241</v>
      </c>
      <c r="B1888" s="12" t="s">
        <v>1970</v>
      </c>
      <c r="C1888" s="13" t="s">
        <v>11</v>
      </c>
      <c r="D1888" s="14"/>
      <c r="E1888" s="9">
        <v>138.8</v>
      </c>
      <c r="F1888" s="9">
        <f t="shared" si="59"/>
        <v>0</v>
      </c>
      <c r="G1888" s="13"/>
      <c r="H1888" s="14" t="str">
        <f>HYPERLINK("https://pulti.ua/tv/originalnyiy-pult-sanyo-cs-90283u")</f>
        <v>https://pulti.ua/tv/originalnyiy-pult-sanyo-cs-90283u</v>
      </c>
    </row>
    <row r="1889" spans="1:8" s="18" customFormat="1" ht="15" customHeight="1">
      <c r="A1889" s="11">
        <v>3187</v>
      </c>
      <c r="B1889" s="12" t="s">
        <v>1971</v>
      </c>
      <c r="C1889" s="13" t="s">
        <v>11</v>
      </c>
      <c r="D1889" s="14"/>
      <c r="E1889" s="9">
        <v>206.3</v>
      </c>
      <c r="F1889" s="9">
        <f t="shared" si="59"/>
        <v>0</v>
      </c>
      <c r="G1889" s="13"/>
      <c r="H1889" s="14" t="str">
        <f>HYPERLINK("https://pulti.ua/tv/pult-sanyo-rc-2000-originalnii")</f>
        <v>https://pulti.ua/tv/pult-sanyo-rc-2000-originalnii</v>
      </c>
    </row>
    <row r="1890" spans="1:8" s="18" customFormat="1" ht="15" customHeight="1">
      <c r="A1890" s="11">
        <v>4751</v>
      </c>
      <c r="B1890" s="12" t="s">
        <v>1972</v>
      </c>
      <c r="C1890" s="13" t="s">
        <v>11</v>
      </c>
      <c r="D1890" s="14"/>
      <c r="E1890" s="9"/>
      <c r="F1890" s="9"/>
      <c r="G1890" s="13"/>
      <c r="H1890" s="14"/>
    </row>
    <row r="1891" spans="1:8" s="18" customFormat="1" ht="15" customHeight="1">
      <c r="A1891" s="11">
        <v>1906</v>
      </c>
      <c r="B1891" s="12" t="s">
        <v>1973</v>
      </c>
      <c r="C1891" s="13" t="s">
        <v>22</v>
      </c>
      <c r="D1891" s="14"/>
      <c r="E1891" s="9">
        <v>573.8</v>
      </c>
      <c r="F1891" s="9">
        <f t="shared" si="59"/>
        <v>0</v>
      </c>
      <c r="G1891" s="13"/>
      <c r="H1891" s="14" t="str">
        <f>HYPERLINK("https://pulti.ua/tv/pult-sharp-gj221-originalnii")</f>
        <v>https://pulti.ua/tv/pult-sharp-gj221-originalnii</v>
      </c>
    </row>
    <row r="1892" spans="1:8" s="18" customFormat="1" ht="15" customHeight="1">
      <c r="A1892" s="11">
        <v>3199</v>
      </c>
      <c r="B1892" s="12" t="s">
        <v>1974</v>
      </c>
      <c r="C1892" s="13" t="s">
        <v>11</v>
      </c>
      <c r="D1892" s="14"/>
      <c r="E1892" s="9">
        <v>243.8</v>
      </c>
      <c r="F1892" s="9">
        <f t="shared" si="59"/>
        <v>0</v>
      </c>
      <c r="G1892" s="13"/>
      <c r="H1892" s="14" t="str">
        <f>HYPERLINK("https://pulti.ua/tv/pult-sitroniks-rc-01-54--originalnii")</f>
        <v>https://pulti.ua/tv/pult-sitroniks-rc-01-54--originalnii</v>
      </c>
    </row>
    <row r="1893" spans="1:8" s="18" customFormat="1" ht="15" customHeight="1">
      <c r="A1893" s="11">
        <v>4706</v>
      </c>
      <c r="B1893" s="12" t="s">
        <v>1975</v>
      </c>
      <c r="C1893" s="13" t="s">
        <v>11</v>
      </c>
      <c r="D1893" s="14"/>
      <c r="E1893" s="9"/>
      <c r="F1893" s="9"/>
      <c r="G1893" s="13"/>
      <c r="H1893" s="14"/>
    </row>
    <row r="1894" spans="1:8" s="18" customFormat="1" ht="15" customHeight="1">
      <c r="A1894" s="11">
        <v>4707</v>
      </c>
      <c r="B1894" s="12" t="s">
        <v>1976</v>
      </c>
      <c r="C1894" s="13" t="s">
        <v>11</v>
      </c>
      <c r="D1894" s="14"/>
      <c r="E1894" s="9"/>
      <c r="F1894" s="9"/>
      <c r="G1894" s="13"/>
      <c r="H1894" s="14"/>
    </row>
    <row r="1895" spans="1:8" s="18" customFormat="1" ht="15" customHeight="1">
      <c r="A1895" s="11">
        <v>4709</v>
      </c>
      <c r="B1895" s="12" t="s">
        <v>1977</v>
      </c>
      <c r="C1895" s="13" t="s">
        <v>11</v>
      </c>
      <c r="D1895" s="14"/>
      <c r="E1895" s="9"/>
      <c r="F1895" s="9"/>
      <c r="G1895" s="13"/>
      <c r="H1895" s="14"/>
    </row>
    <row r="1896" spans="1:8" s="18" customFormat="1" ht="15" customHeight="1">
      <c r="A1896" s="11">
        <v>4708</v>
      </c>
      <c r="B1896" s="12" t="s">
        <v>1978</v>
      </c>
      <c r="C1896" s="13" t="s">
        <v>11</v>
      </c>
      <c r="D1896" s="14"/>
      <c r="E1896" s="9"/>
      <c r="F1896" s="9"/>
      <c r="G1896" s="13"/>
      <c r="H1896" s="14"/>
    </row>
    <row r="1897" spans="1:8" s="18" customFormat="1" ht="15" customHeight="1">
      <c r="A1897" s="11">
        <v>4710</v>
      </c>
      <c r="B1897" s="12" t="s">
        <v>1979</v>
      </c>
      <c r="C1897" s="13" t="s">
        <v>11</v>
      </c>
      <c r="D1897" s="14"/>
      <c r="E1897" s="9"/>
      <c r="F1897" s="9"/>
      <c r="G1897" s="13"/>
      <c r="H1897" s="14"/>
    </row>
    <row r="1898" spans="1:8" s="18" customFormat="1" ht="15" customHeight="1">
      <c r="A1898" s="11">
        <v>3508</v>
      </c>
      <c r="B1898" s="12" t="s">
        <v>1980</v>
      </c>
      <c r="C1898" s="13" t="s">
        <v>22</v>
      </c>
      <c r="D1898" s="14"/>
      <c r="E1898" s="9">
        <v>656.3</v>
      </c>
      <c r="F1898" s="9">
        <f t="shared" si="59"/>
        <v>0</v>
      </c>
      <c r="G1898" s="13"/>
      <c r="H1898" s="14" t="str">
        <f>HYPERLINK("https://pulti.ua/tv/pult-sony-rm-944-originalnii")</f>
        <v>https://pulti.ua/tv/pult-sony-rm-944-originalnii</v>
      </c>
    </row>
    <row r="1899" spans="1:8" s="18" customFormat="1" ht="15" customHeight="1">
      <c r="A1899" s="11">
        <v>4711</v>
      </c>
      <c r="B1899" s="12" t="s">
        <v>1981</v>
      </c>
      <c r="C1899" s="13" t="s">
        <v>11</v>
      </c>
      <c r="D1899" s="14"/>
      <c r="E1899" s="9"/>
      <c r="F1899" s="9"/>
      <c r="G1899" s="13"/>
      <c r="H1899" s="14"/>
    </row>
    <row r="1900" spans="1:8" s="18" customFormat="1" ht="15" customHeight="1">
      <c r="A1900" s="11">
        <v>3510</v>
      </c>
      <c r="B1900" s="12" t="s">
        <v>1982</v>
      </c>
      <c r="C1900" s="13" t="s">
        <v>22</v>
      </c>
      <c r="D1900" s="14"/>
      <c r="E1900" s="9">
        <v>656.3</v>
      </c>
      <c r="F1900" s="9">
        <f t="shared" si="59"/>
        <v>0</v>
      </c>
      <c r="G1900" s="13"/>
      <c r="H1900" s="14" t="str">
        <f>HYPERLINK("https://pulti.ua/tv/pult-sony-rm-947-originalnii")</f>
        <v>https://pulti.ua/tv/pult-sony-rm-947-originalnii</v>
      </c>
    </row>
    <row r="1901" spans="1:8" s="18" customFormat="1" ht="15" customHeight="1">
      <c r="A1901" s="11">
        <v>4712</v>
      </c>
      <c r="B1901" s="12" t="s">
        <v>1983</v>
      </c>
      <c r="C1901" s="13" t="s">
        <v>11</v>
      </c>
      <c r="D1901" s="14"/>
      <c r="E1901" s="9"/>
      <c r="F1901" s="9"/>
      <c r="G1901" s="13"/>
      <c r="H1901" s="14"/>
    </row>
    <row r="1902" spans="1:8" s="18" customFormat="1" ht="15" customHeight="1">
      <c r="A1902" s="11">
        <v>2455</v>
      </c>
      <c r="B1902" s="12" t="s">
        <v>1984</v>
      </c>
      <c r="C1902" s="13" t="s">
        <v>1106</v>
      </c>
      <c r="D1902" s="14"/>
      <c r="E1902" s="9">
        <v>843.8</v>
      </c>
      <c r="F1902" s="9">
        <f t="shared" si="59"/>
        <v>0</v>
      </c>
      <c r="G1902" s="13"/>
      <c r="H1902" s="14" t="str">
        <f>HYPERLINK("https://pulti.ua/domashnie-kinoteatry/pult-sony-rm-adp021-originalnii")</f>
        <v>https://pulti.ua/domashnie-kinoteatry/pult-sony-rm-adp021-originalnii</v>
      </c>
    </row>
    <row r="1903" spans="1:8" s="18" customFormat="1" ht="15" customHeight="1">
      <c r="A1903" s="11">
        <v>4713</v>
      </c>
      <c r="B1903" s="12" t="s">
        <v>1985</v>
      </c>
      <c r="C1903" s="13" t="s">
        <v>1095</v>
      </c>
      <c r="D1903" s="14"/>
      <c r="E1903" s="9"/>
      <c r="F1903" s="9"/>
      <c r="G1903" s="13"/>
      <c r="H1903" s="14"/>
    </row>
    <row r="1904" spans="1:8" s="18" customFormat="1" ht="15" customHeight="1">
      <c r="A1904" s="11">
        <v>4714</v>
      </c>
      <c r="B1904" s="12" t="s">
        <v>1986</v>
      </c>
      <c r="C1904" s="13" t="s">
        <v>1095</v>
      </c>
      <c r="D1904" s="14"/>
      <c r="E1904" s="9"/>
      <c r="F1904" s="9"/>
      <c r="G1904" s="13"/>
      <c r="H1904" s="14"/>
    </row>
    <row r="1905" spans="1:8" s="18" customFormat="1" ht="15" customHeight="1">
      <c r="A1905" s="11">
        <v>4715</v>
      </c>
      <c r="B1905" s="12" t="s">
        <v>1987</v>
      </c>
      <c r="C1905" s="13" t="s">
        <v>22</v>
      </c>
      <c r="D1905" s="14"/>
      <c r="E1905" s="9"/>
      <c r="F1905" s="9"/>
      <c r="G1905" s="13"/>
      <c r="H1905" s="14"/>
    </row>
    <row r="1906" spans="1:8" s="18" customFormat="1" ht="15" customHeight="1">
      <c r="A1906" s="11">
        <v>4716</v>
      </c>
      <c r="B1906" s="12" t="s">
        <v>1988</v>
      </c>
      <c r="C1906" s="13" t="s">
        <v>22</v>
      </c>
      <c r="D1906" s="14"/>
      <c r="E1906" s="9"/>
      <c r="F1906" s="9"/>
      <c r="G1906" s="13"/>
      <c r="H1906" s="14"/>
    </row>
    <row r="1907" spans="1:8" s="18" customFormat="1" ht="15" customHeight="1">
      <c r="A1907" s="11">
        <v>3796</v>
      </c>
      <c r="B1907" s="12" t="s">
        <v>1989</v>
      </c>
      <c r="C1907" s="13" t="s">
        <v>14</v>
      </c>
      <c r="D1907" s="14"/>
      <c r="E1907" s="9">
        <v>2362.5</v>
      </c>
      <c r="F1907" s="9">
        <f t="shared" si="59"/>
        <v>0</v>
      </c>
      <c r="G1907" s="13"/>
      <c r="H1907" s="14" t="str">
        <f>HYPERLINK("https://pulti.ua/tv/originalnyj-pult-sony-rmf-tx500e")</f>
        <v>https://pulti.ua/tv/originalnyj-pult-sony-rmf-tx500e</v>
      </c>
    </row>
    <row r="1908" spans="1:8" s="18" customFormat="1" ht="15" customHeight="1">
      <c r="A1908" s="11">
        <v>4717</v>
      </c>
      <c r="B1908" s="12" t="s">
        <v>1990</v>
      </c>
      <c r="C1908" s="13" t="s">
        <v>11</v>
      </c>
      <c r="D1908" s="14"/>
      <c r="E1908" s="9"/>
      <c r="F1908" s="9"/>
      <c r="G1908" s="13"/>
      <c r="H1908" s="14"/>
    </row>
    <row r="1909" spans="1:8" s="18" customFormat="1" ht="15" customHeight="1">
      <c r="A1909" s="11">
        <v>4718</v>
      </c>
      <c r="B1909" s="12" t="s">
        <v>1991</v>
      </c>
      <c r="C1909" s="13" t="s">
        <v>1106</v>
      </c>
      <c r="D1909" s="14"/>
      <c r="E1909" s="9"/>
      <c r="F1909" s="9"/>
      <c r="G1909" s="13"/>
      <c r="H1909" s="14"/>
    </row>
    <row r="1910" spans="1:8" s="18" customFormat="1" ht="15" customHeight="1">
      <c r="A1910" s="11">
        <v>4719</v>
      </c>
      <c r="B1910" s="12" t="s">
        <v>1992</v>
      </c>
      <c r="C1910" s="13" t="s">
        <v>1258</v>
      </c>
      <c r="D1910" s="14"/>
      <c r="E1910" s="9"/>
      <c r="F1910" s="9"/>
      <c r="G1910" s="13"/>
      <c r="H1910" s="14"/>
    </row>
    <row r="1911" spans="1:8" s="18" customFormat="1" ht="15" customHeight="1">
      <c r="A1911" s="11">
        <v>4720</v>
      </c>
      <c r="B1911" s="12" t="s">
        <v>1993</v>
      </c>
      <c r="C1911" s="13" t="s">
        <v>1086</v>
      </c>
      <c r="D1911" s="14"/>
      <c r="E1911" s="9"/>
      <c r="F1911" s="9"/>
      <c r="G1911" s="13"/>
      <c r="H1911" s="14"/>
    </row>
    <row r="1912" spans="1:8" s="18" customFormat="1" ht="15" customHeight="1">
      <c r="A1912" s="11">
        <v>3010</v>
      </c>
      <c r="B1912" s="12" t="s">
        <v>1994</v>
      </c>
      <c r="C1912" s="13" t="s">
        <v>1086</v>
      </c>
      <c r="D1912" s="14"/>
      <c r="E1912" s="9">
        <v>360</v>
      </c>
      <c r="F1912" s="9">
        <f t="shared" si="59"/>
        <v>0</v>
      </c>
      <c r="G1912" s="13"/>
      <c r="H1912" s="14" t="str">
        <f>HYPERLINK("https://pulti.ua/dvd-blueray/pult-sony-rmt-d182a-originalnii")</f>
        <v>https://pulti.ua/dvd-blueray/pult-sony-rmt-d182a-originalnii</v>
      </c>
    </row>
    <row r="1913" spans="1:8" s="18" customFormat="1" ht="15" customHeight="1">
      <c r="A1913" s="11">
        <v>4721</v>
      </c>
      <c r="B1913" s="12" t="s">
        <v>1995</v>
      </c>
      <c r="C1913" s="13" t="s">
        <v>773</v>
      </c>
      <c r="D1913" s="14"/>
      <c r="E1913" s="9"/>
      <c r="F1913" s="9"/>
      <c r="G1913" s="13"/>
      <c r="H1913" s="14"/>
    </row>
    <row r="1914" spans="1:8" s="18" customFormat="1" ht="15" customHeight="1">
      <c r="A1914" s="11">
        <v>4722</v>
      </c>
      <c r="B1914" s="12" t="s">
        <v>1996</v>
      </c>
      <c r="C1914" s="13" t="s">
        <v>1259</v>
      </c>
      <c r="D1914" s="14"/>
      <c r="E1914" s="9"/>
      <c r="F1914" s="9"/>
      <c r="G1914" s="13"/>
      <c r="H1914" s="14"/>
    </row>
    <row r="1915" spans="1:8" s="18" customFormat="1" ht="15" customHeight="1">
      <c r="A1915" s="11">
        <v>4723</v>
      </c>
      <c r="B1915" s="12" t="s">
        <v>1997</v>
      </c>
      <c r="C1915" s="13" t="s">
        <v>773</v>
      </c>
      <c r="D1915" s="14"/>
      <c r="E1915" s="9"/>
      <c r="F1915" s="9"/>
      <c r="G1915" s="13"/>
      <c r="H1915" s="14"/>
    </row>
    <row r="1916" spans="1:8" s="18" customFormat="1" ht="15" customHeight="1">
      <c r="A1916" s="11">
        <v>4724</v>
      </c>
      <c r="B1916" s="12" t="s">
        <v>1998</v>
      </c>
      <c r="C1916" s="13" t="s">
        <v>1259</v>
      </c>
      <c r="D1916" s="14"/>
      <c r="E1916" s="9"/>
      <c r="F1916" s="9"/>
      <c r="G1916" s="13"/>
      <c r="H1916" s="14"/>
    </row>
    <row r="1917" spans="1:8" s="18" customFormat="1" ht="15" customHeight="1">
      <c r="A1917" s="11">
        <v>4725</v>
      </c>
      <c r="B1917" s="12" t="s">
        <v>1999</v>
      </c>
      <c r="C1917" s="13" t="s">
        <v>1106</v>
      </c>
      <c r="D1917" s="14"/>
      <c r="E1917" s="9"/>
      <c r="F1917" s="9"/>
      <c r="G1917" s="13"/>
      <c r="H1917" s="14"/>
    </row>
    <row r="1918" spans="1:8" s="18" customFormat="1" ht="15" customHeight="1">
      <c r="A1918" s="11">
        <v>4726</v>
      </c>
      <c r="B1918" s="12" t="s">
        <v>2000</v>
      </c>
      <c r="C1918" s="13" t="s">
        <v>11</v>
      </c>
      <c r="D1918" s="14"/>
      <c r="E1918" s="9"/>
      <c r="F1918" s="9"/>
      <c r="G1918" s="13"/>
      <c r="H1918" s="14"/>
    </row>
    <row r="1919" spans="1:8" s="18" customFormat="1" ht="15" customHeight="1">
      <c r="A1919" s="11">
        <v>4727</v>
      </c>
      <c r="B1919" s="12" t="s">
        <v>2001</v>
      </c>
      <c r="C1919" s="13" t="s">
        <v>295</v>
      </c>
      <c r="D1919" s="14"/>
      <c r="E1919" s="9"/>
      <c r="F1919" s="9"/>
      <c r="G1919" s="13"/>
      <c r="H1919" s="14"/>
    </row>
    <row r="1920" spans="1:8" s="18" customFormat="1" ht="15" customHeight="1">
      <c r="A1920" s="11">
        <v>4728</v>
      </c>
      <c r="B1920" s="12" t="s">
        <v>2002</v>
      </c>
      <c r="C1920" s="13" t="s">
        <v>295</v>
      </c>
      <c r="D1920" s="14"/>
      <c r="E1920" s="9"/>
      <c r="F1920" s="9"/>
      <c r="G1920" s="13"/>
      <c r="H1920" s="14"/>
    </row>
    <row r="1921" spans="1:8" s="18" customFormat="1" ht="15" customHeight="1">
      <c r="A1921" s="11">
        <v>2026</v>
      </c>
      <c r="B1921" s="12" t="s">
        <v>2003</v>
      </c>
      <c r="C1921" s="13" t="s">
        <v>11</v>
      </c>
      <c r="D1921" s="14"/>
      <c r="E1921" s="9">
        <v>82.5</v>
      </c>
      <c r="F1921" s="9">
        <f t="shared" si="59"/>
        <v>0</v>
      </c>
      <c r="G1921" s="13"/>
      <c r="H1921" s="14" t="str">
        <f>HYPERLINK("https://pulti.ua/tv/pult-supra-14n8-originalnii")</f>
        <v>https://pulti.ua/tv/pult-supra-14n8-originalnii</v>
      </c>
    </row>
    <row r="1922" spans="1:8" s="18" customFormat="1" ht="15" customHeight="1">
      <c r="A1922" s="11">
        <v>2027</v>
      </c>
      <c r="B1922" s="12" t="s">
        <v>2004</v>
      </c>
      <c r="C1922" s="13" t="s">
        <v>11</v>
      </c>
      <c r="D1922" s="14"/>
      <c r="E1922" s="9"/>
      <c r="F1922" s="9"/>
      <c r="G1922" s="13"/>
      <c r="H1922" s="14" t="str">
        <f>HYPERLINK("https://pulti.ua/tv/pult-supra-bc3805-02bc-1202-chi-originalnii")</f>
        <v>https://pulti.ua/tv/pult-supra-bc3805-02bc-1202-chi-originalnii</v>
      </c>
    </row>
    <row r="1923" spans="1:8" s="18" customFormat="1" ht="15" customHeight="1">
      <c r="A1923" s="11">
        <v>3616</v>
      </c>
      <c r="B1923" s="12" t="s">
        <v>2005</v>
      </c>
      <c r="C1923" s="13" t="s">
        <v>1086</v>
      </c>
      <c r="D1923" s="14"/>
      <c r="E1923" s="9">
        <v>243.8</v>
      </c>
      <c r="F1923" s="9">
        <f t="shared" si="59"/>
        <v>0</v>
      </c>
      <c r="G1923" s="13"/>
      <c r="H1923" s="14" t="str">
        <f>HYPERLINK("https://pulti.ua/avtomobilnie/pult-supra--dv-602u-originalnii")</f>
        <v>https://pulti.ua/avtomobilnie/pult-supra--dv-602u-originalnii</v>
      </c>
    </row>
    <row r="1924" spans="1:8" s="18" customFormat="1" ht="15" customHeight="1">
      <c r="A1924" s="11">
        <v>2973</v>
      </c>
      <c r="B1924" s="12" t="s">
        <v>2006</v>
      </c>
      <c r="C1924" s="13" t="s">
        <v>14</v>
      </c>
      <c r="D1924" s="14"/>
      <c r="E1924" s="9">
        <v>225</v>
      </c>
      <c r="F1924" s="9">
        <f t="shared" si="59"/>
        <v>0</v>
      </c>
      <c r="G1924" s="13"/>
      <c r="H1924" s="14" t="str">
        <f>HYPERLINK("https://pulti.ua/tv/pult-supra-rc10w-originalnii")</f>
        <v>https://pulti.ua/tv/pult-supra-rc10w-originalnii</v>
      </c>
    </row>
    <row r="1925" spans="1:8" s="18" customFormat="1" ht="15" customHeight="1">
      <c r="A1925" s="11">
        <v>2033</v>
      </c>
      <c r="B1925" s="12" t="s">
        <v>2007</v>
      </c>
      <c r="C1925" s="13" t="s">
        <v>11</v>
      </c>
      <c r="D1925" s="14"/>
      <c r="E1925" s="9">
        <v>262.5</v>
      </c>
      <c r="F1925" s="9">
        <f t="shared" si="59"/>
        <v>0</v>
      </c>
      <c r="G1925" s="13"/>
      <c r="H1925" s="14" t="str">
        <f>HYPERLINK("https://pulti.ua/tv/pult-supra-rc-1381-19-s-19l19-originalnii")</f>
        <v>https://pulti.ua/tv/pult-supra-rc-1381-19-s-19l19-originalnii</v>
      </c>
    </row>
    <row r="1926" spans="1:8" s="18" customFormat="1" ht="15" customHeight="1">
      <c r="A1926" s="11">
        <v>3060</v>
      </c>
      <c r="B1926" s="12" t="s">
        <v>2008</v>
      </c>
      <c r="C1926" s="13" t="s">
        <v>14</v>
      </c>
      <c r="D1926" s="14"/>
      <c r="E1926" s="9">
        <v>225</v>
      </c>
      <c r="F1926" s="9">
        <f t="shared" si="59"/>
        <v>0</v>
      </c>
      <c r="G1926" s="13"/>
      <c r="H1926" s="14" t="str">
        <f>HYPERLINK("https://pulti.ua/tv/pult-supra-rc18b-originalnii")</f>
        <v>https://pulti.ua/tv/pult-supra-rc18b-originalnii</v>
      </c>
    </row>
    <row r="1927" spans="1:8" s="18" customFormat="1" ht="15" customHeight="1">
      <c r="A1927" s="11">
        <v>3114</v>
      </c>
      <c r="B1927" s="12" t="s">
        <v>2009</v>
      </c>
      <c r="C1927" s="13" t="s">
        <v>14</v>
      </c>
      <c r="D1927" s="14"/>
      <c r="E1927" s="9">
        <v>225</v>
      </c>
      <c r="F1927" s="9">
        <f t="shared" si="59"/>
        <v>0</v>
      </c>
      <c r="G1927" s="13"/>
      <c r="H1927" s="14" t="str">
        <f>HYPERLINK("https://pulti.ua/tv/pult-supra-rc21b-originalnii")</f>
        <v>https://pulti.ua/tv/pult-supra-rc21b-originalnii</v>
      </c>
    </row>
    <row r="1928" spans="1:8" s="18" customFormat="1" ht="15" customHeight="1">
      <c r="A1928" s="11">
        <v>2035</v>
      </c>
      <c r="B1928" s="12" t="s">
        <v>2010</v>
      </c>
      <c r="C1928" s="13" t="s">
        <v>14</v>
      </c>
      <c r="D1928" s="14"/>
      <c r="E1928" s="9">
        <v>375</v>
      </c>
      <c r="F1928" s="9">
        <f t="shared" si="59"/>
        <v>0</v>
      </c>
      <c r="G1928" s="13"/>
      <c r="H1928" s="14" t="str">
        <f>HYPERLINK("https://pulti.ua/tv/pult-supra-rc3b-originalnii")</f>
        <v>https://pulti.ua/tv/pult-supra-rc3b-originalnii</v>
      </c>
    </row>
    <row r="1929" spans="1:8" s="18" customFormat="1" ht="15" customHeight="1">
      <c r="A1929" s="11">
        <v>2472</v>
      </c>
      <c r="B1929" s="12" t="s">
        <v>2011</v>
      </c>
      <c r="C1929" s="13" t="s">
        <v>1086</v>
      </c>
      <c r="D1929" s="14"/>
      <c r="E1929" s="9">
        <v>97.5</v>
      </c>
      <c r="F1929" s="9">
        <f t="shared" si="59"/>
        <v>0</v>
      </c>
      <c r="G1929" s="13"/>
      <c r="H1929" s="14" t="str">
        <f>HYPERLINK("https://pulti.ua/dvd-blueray/pult-supra-rc-d010e-usb-originalnii")</f>
        <v>https://pulti.ua/dvd-blueray/pult-supra-rc-d010e-usb-originalnii</v>
      </c>
    </row>
    <row r="1930" spans="1:8" s="18" customFormat="1" ht="15" customHeight="1">
      <c r="A1930" s="11">
        <v>2471</v>
      </c>
      <c r="B1930" s="12" t="s">
        <v>2012</v>
      </c>
      <c r="C1930" s="13" t="s">
        <v>1086</v>
      </c>
      <c r="D1930" s="14"/>
      <c r="E1930" s="9">
        <v>97.5</v>
      </c>
      <c r="F1930" s="9">
        <f t="shared" si="59"/>
        <v>0</v>
      </c>
      <c r="G1930" s="13"/>
      <c r="H1930" s="14" t="str">
        <f>HYPERLINK("https://pulti.ua/dvd-blueray/pult-supra-rc-d010e-originalnii")</f>
        <v>https://pulti.ua/dvd-blueray/pult-supra-rc-d010e-originalnii</v>
      </c>
    </row>
    <row r="1931" spans="1:8" s="18" customFormat="1" ht="15" customHeight="1">
      <c r="A1931" s="11">
        <v>1335</v>
      </c>
      <c r="B1931" s="12" t="s">
        <v>2013</v>
      </c>
      <c r="C1931" s="13" t="s">
        <v>11</v>
      </c>
      <c r="D1931" s="14"/>
      <c r="E1931" s="9">
        <v>262.5</v>
      </c>
      <c r="F1931" s="9">
        <f t="shared" si="59"/>
        <v>0</v>
      </c>
      <c r="G1931" s="13"/>
      <c r="H1931" s="14" t="str">
        <f>HYPERLINK("https://pulti.ua/tv/pult-supra-s-24l20--originalnii")</f>
        <v>https://pulti.ua/tv/pult-supra-s-24l20--originalnii</v>
      </c>
    </row>
    <row r="1932" spans="1:8" s="18" customFormat="1" ht="15" customHeight="1">
      <c r="A1932" s="11">
        <v>2975</v>
      </c>
      <c r="B1932" s="12" t="s">
        <v>2014</v>
      </c>
      <c r="C1932" s="13" t="s">
        <v>22</v>
      </c>
      <c r="D1932" s="14"/>
      <c r="E1932" s="9">
        <v>225</v>
      </c>
      <c r="F1932" s="9">
        <f t="shared" si="59"/>
        <v>0</v>
      </c>
      <c r="G1932" s="13"/>
      <c r="H1932" s="14" t="str">
        <f>HYPERLINK("https://pulti.ua/tv/pult-supra-stv-lc1917wd-originalnii")</f>
        <v>https://pulti.ua/tv/pult-supra-stv-lc1917wd-originalnii</v>
      </c>
    </row>
    <row r="1933" spans="1:8" s="18" customFormat="1" ht="15" customHeight="1">
      <c r="A1933" s="11">
        <v>2533</v>
      </c>
      <c r="B1933" s="12" t="s">
        <v>2015</v>
      </c>
      <c r="C1933" s="13" t="s">
        <v>22</v>
      </c>
      <c r="D1933" s="14"/>
      <c r="E1933" s="9">
        <v>225</v>
      </c>
      <c r="F1933" s="9">
        <f t="shared" si="59"/>
        <v>0</v>
      </c>
      <c r="G1933" s="13"/>
      <c r="H1933" s="14" t="str">
        <f>HYPERLINK("https://pulti.ua/tv/pult-supra-stv-lc2277fl-originalnii")</f>
        <v>https://pulti.ua/tv/pult-supra-stv-lc2277fl-originalnii</v>
      </c>
    </row>
    <row r="1934" spans="1:8" s="18" customFormat="1" ht="15" customHeight="1">
      <c r="A1934" s="11">
        <v>4236</v>
      </c>
      <c r="B1934" s="12" t="s">
        <v>2016</v>
      </c>
      <c r="C1934" s="13" t="s">
        <v>11</v>
      </c>
      <c r="D1934" s="14"/>
      <c r="E1934" s="9">
        <v>153.8</v>
      </c>
      <c r="F1934" s="9">
        <f t="shared" si="59"/>
        <v>0</v>
      </c>
      <c r="G1934" s="13"/>
      <c r="H1934" s="14" t="str">
        <f>HYPERLINK("https://pulti.ua/tv/originalnyiy-pult-tcl-rc3100l09")</f>
        <v>https://pulti.ua/tv/originalnyiy-pult-tcl-rc3100l09</v>
      </c>
    </row>
    <row r="1935" spans="1:8" s="18" customFormat="1" ht="15" customHeight="1">
      <c r="A1935" s="11">
        <v>4784</v>
      </c>
      <c r="B1935" s="12" t="s">
        <v>1263</v>
      </c>
      <c r="C1935" s="13" t="s">
        <v>14</v>
      </c>
      <c r="D1935" s="14"/>
      <c r="E1935" s="9">
        <v>450</v>
      </c>
      <c r="F1935" s="9">
        <f t="shared" si="59"/>
        <v>0</v>
      </c>
      <c r="G1935" s="13"/>
      <c r="H1935" s="14" t="str">
        <f>HYPERLINK("https://pulti.ua/tv/originalnyiy-pult-telefunken-s-mikrofonom")</f>
        <v>https://pulti.ua/tv/originalnyiy-pult-telefunken-s-mikrofonom</v>
      </c>
    </row>
    <row r="1936" spans="1:8" s="18" customFormat="1" ht="15" customHeight="1">
      <c r="A1936" s="11">
        <v>4752</v>
      </c>
      <c r="B1936" s="12" t="s">
        <v>2017</v>
      </c>
      <c r="C1936" s="13" t="s">
        <v>11</v>
      </c>
      <c r="D1936" s="14"/>
      <c r="E1936" s="9"/>
      <c r="F1936" s="9"/>
      <c r="G1936" s="13"/>
      <c r="H1936" s="14"/>
    </row>
    <row r="1937" spans="1:8" s="18" customFormat="1" ht="15" customHeight="1">
      <c r="A1937" s="11">
        <v>4364</v>
      </c>
      <c r="B1937" s="12" t="s">
        <v>2018</v>
      </c>
      <c r="C1937" s="13" t="s">
        <v>905</v>
      </c>
      <c r="D1937" s="14"/>
      <c r="E1937" s="9">
        <v>123.8</v>
      </c>
      <c r="F1937" s="9">
        <f t="shared" si="59"/>
        <v>0</v>
      </c>
      <c r="G1937" s="13"/>
      <c r="H1937" s="14" t="str">
        <f>HYPERLINK("https://pulti.ua/mediapleery/originalnyiy-pult-tiger-i250")</f>
        <v>https://pulti.ua/mediapleery/originalnyiy-pult-tiger-i250</v>
      </c>
    </row>
    <row r="1938" spans="1:8" s="18" customFormat="1" ht="15" customHeight="1">
      <c r="A1938" s="11">
        <v>4244</v>
      </c>
      <c r="B1938" s="12" t="s">
        <v>2019</v>
      </c>
      <c r="C1938" s="13" t="s">
        <v>11</v>
      </c>
      <c r="D1938" s="14"/>
      <c r="E1938" s="9">
        <v>138.8</v>
      </c>
      <c r="F1938" s="9">
        <f t="shared" si="59"/>
        <v>0</v>
      </c>
      <c r="G1938" s="13"/>
      <c r="H1938" s="14" t="str">
        <f>HYPERLINK("https://pulti.ua/tv/originalnyiy-pult-toshiba-ct-8058")</f>
        <v>https://pulti.ua/tv/originalnyiy-pult-toshiba-ct-8058</v>
      </c>
    </row>
    <row r="1939" spans="1:8" s="18" customFormat="1" ht="15" customHeight="1">
      <c r="A1939" s="11">
        <v>2113</v>
      </c>
      <c r="B1939" s="12" t="s">
        <v>2020</v>
      </c>
      <c r="C1939" s="13" t="s">
        <v>22</v>
      </c>
      <c r="D1939" s="14"/>
      <c r="E1939" s="9">
        <v>592.5</v>
      </c>
      <c r="F1939" s="9">
        <f t="shared" si="59"/>
        <v>0</v>
      </c>
      <c r="G1939" s="13"/>
      <c r="H1939" s="14" t="str">
        <f>HYPERLINK("https://pulti.ua/tv/pult-toshiba-ct-90329--originalnii")</f>
        <v>https://pulti.ua/tv/pult-toshiba-ct-90329--originalnii</v>
      </c>
    </row>
    <row r="1940" spans="1:8" s="18" customFormat="1" ht="15" customHeight="1">
      <c r="A1940" s="11">
        <v>4753</v>
      </c>
      <c r="B1940" s="12" t="s">
        <v>2021</v>
      </c>
      <c r="C1940" s="13" t="s">
        <v>11</v>
      </c>
      <c r="D1940" s="14"/>
      <c r="E1940" s="9"/>
      <c r="F1940" s="9"/>
      <c r="G1940" s="13"/>
      <c r="H1940" s="14"/>
    </row>
    <row r="1941" spans="1:8" s="18" customFormat="1" ht="15" customHeight="1">
      <c r="A1941" s="11">
        <v>2946</v>
      </c>
      <c r="B1941" s="12" t="s">
        <v>2022</v>
      </c>
      <c r="C1941" s="13" t="s">
        <v>1086</v>
      </c>
      <c r="D1941" s="14"/>
      <c r="E1941" s="9">
        <v>112.5</v>
      </c>
      <c r="F1941" s="9">
        <f t="shared" si="59"/>
        <v>0</v>
      </c>
      <c r="G1941" s="13"/>
      <c r="H1941" s="14" t="str">
        <f>HYPERLINK("https://pulti.ua/dvd-blueray/pult-west-dvx5144hd-originalnii")</f>
        <v>https://pulti.ua/dvd-blueray/pult-west-dvx5144hd-originalnii</v>
      </c>
    </row>
    <row r="1942" spans="1:8" s="18" customFormat="1" ht="15" customHeight="1">
      <c r="A1942" s="11">
        <v>2947</v>
      </c>
      <c r="B1942" s="12" t="s">
        <v>2023</v>
      </c>
      <c r="C1942" s="13" t="s">
        <v>1086</v>
      </c>
      <c r="D1942" s="14"/>
      <c r="E1942" s="9">
        <v>112.5</v>
      </c>
      <c r="F1942" s="9">
        <f t="shared" si="59"/>
        <v>0</v>
      </c>
      <c r="G1942" s="13"/>
      <c r="H1942" s="14" t="str">
        <f>HYPERLINK("https://pulti.ua/dvd-blueray/pult-west-remote-02-originalnii")</f>
        <v>https://pulti.ua/dvd-blueray/pult-west-remote-02-originalnii</v>
      </c>
    </row>
    <row r="1943" spans="1:8" s="18" customFormat="1" ht="15" customHeight="1">
      <c r="A1943" s="11">
        <v>2948</v>
      </c>
      <c r="B1943" s="12" t="s">
        <v>2024</v>
      </c>
      <c r="C1943" s="13" t="s">
        <v>1086</v>
      </c>
      <c r="D1943" s="14"/>
      <c r="E1943" s="9">
        <v>180</v>
      </c>
      <c r="F1943" s="9">
        <f t="shared" si="59"/>
        <v>0</v>
      </c>
      <c r="G1943" s="13"/>
      <c r="H1943" s="14" t="str">
        <f>HYPERLINK("https://pulti.ua/dvd-blueray/pult-west-th-002b-originalnii")</f>
        <v>https://pulti.ua/dvd-blueray/pult-west-th-002b-originalnii</v>
      </c>
    </row>
    <row r="1944" spans="1:8" s="18" customFormat="1" ht="15" customHeight="1">
      <c r="A1944" s="11">
        <v>3376</v>
      </c>
      <c r="B1944" s="12" t="s">
        <v>2025</v>
      </c>
      <c r="C1944" s="13" t="s">
        <v>1095</v>
      </c>
      <c r="D1944" s="14"/>
      <c r="E1944" s="9">
        <v>326.3</v>
      </c>
      <c r="F1944" s="9">
        <f t="shared" si="59"/>
        <v>0</v>
      </c>
      <c r="G1944" s="13"/>
      <c r="H1944" s="14" t="str">
        <f>HYPERLINK("https://pulti.ua/domashnie-kinoteatry/pult-yamaha-tss-15-wd76700-originalnii")</f>
        <v>https://pulti.ua/domashnie-kinoteatry/pult-yamaha-tss-15-wd76700-originalnii</v>
      </c>
    </row>
    <row r="1945" spans="1:8" s="18" customFormat="1" ht="15" customHeight="1">
      <c r="A1945" s="11">
        <v>3970</v>
      </c>
      <c r="B1945" s="12" t="s">
        <v>2026</v>
      </c>
      <c r="C1945" s="13" t="s">
        <v>965</v>
      </c>
      <c r="D1945" s="14"/>
      <c r="E1945" s="9">
        <v>187.5</v>
      </c>
      <c r="F1945" s="9">
        <f aca="true" t="shared" si="60" ref="F1945:F1964">D1945*E1945</f>
        <v>0</v>
      </c>
      <c r="G1945" s="13"/>
      <c r="H1945" s="14" t="str">
        <f>HYPERLINK("https://pulti.ua/mediapleery/originalnii-pult-zala-belii")</f>
        <v>https://pulti.ua/mediapleery/originalnii-pult-zala-belii</v>
      </c>
    </row>
    <row r="1946" spans="1:8" s="18" customFormat="1" ht="15" customHeight="1">
      <c r="A1946" s="11">
        <v>3971</v>
      </c>
      <c r="B1946" s="12" t="s">
        <v>2027</v>
      </c>
      <c r="C1946" s="13" t="s">
        <v>965</v>
      </c>
      <c r="D1946" s="14"/>
      <c r="E1946" s="9">
        <v>187.5</v>
      </c>
      <c r="F1946" s="9">
        <f t="shared" si="60"/>
        <v>0</v>
      </c>
      <c r="G1946" s="13"/>
      <c r="H1946" s="14" t="str">
        <f>HYPERLINK("https://pulti.ua/mediapleery/originalnii-pult-zala-chernii")</f>
        <v>https://pulti.ua/mediapleery/originalnii-pult-zala-chernii</v>
      </c>
    </row>
    <row r="1947" spans="1:8" s="18" customFormat="1" ht="15" customHeight="1">
      <c r="A1947" s="11">
        <v>2634</v>
      </c>
      <c r="B1947" s="12" t="s">
        <v>2028</v>
      </c>
      <c r="C1947" s="13" t="s">
        <v>11</v>
      </c>
      <c r="D1947" s="14"/>
      <c r="E1947" s="9">
        <v>138.8</v>
      </c>
      <c r="F1947" s="9">
        <f t="shared" si="60"/>
        <v>0</v>
      </c>
      <c r="G1947" s="13"/>
      <c r="H1947" s="14" t="str">
        <f>HYPERLINK("https://pulti.ua/tv/pult-horizont-gorizont-rc-6-7-2--fosfor-originalnii")</f>
        <v>https://pulti.ua/tv/pult-horizont-gorizont-rc-6-7-2--fosfor-originalnii</v>
      </c>
    </row>
    <row r="1948" spans="1:8" s="18" customFormat="1" ht="15" customHeight="1">
      <c r="A1948" s="11">
        <v>2981</v>
      </c>
      <c r="B1948" s="12" t="s">
        <v>2029</v>
      </c>
      <c r="C1948" s="13" t="s">
        <v>1238</v>
      </c>
      <c r="D1948" s="14"/>
      <c r="E1948" s="9">
        <v>487.5</v>
      </c>
      <c r="F1948" s="9">
        <f t="shared" si="60"/>
        <v>0</v>
      </c>
      <c r="G1948" s="13"/>
      <c r="H1948" s="14" t="str">
        <f>HYPERLINK("https://pulti.ua/kondicionery/pult-beko-r51e-originalnii")</f>
        <v>https://pulti.ua/kondicionery/pult-beko-r51e-originalnii</v>
      </c>
    </row>
    <row r="1949" spans="1:8" s="18" customFormat="1" ht="15" customHeight="1">
      <c r="A1949" s="11">
        <v>4210</v>
      </c>
      <c r="B1949" s="12" t="s">
        <v>2030</v>
      </c>
      <c r="C1949" s="13" t="s">
        <v>1238</v>
      </c>
      <c r="D1949" s="14"/>
      <c r="E1949" s="9">
        <v>153.8</v>
      </c>
      <c r="F1949" s="9">
        <f t="shared" si="60"/>
        <v>0</v>
      </c>
      <c r="G1949" s="13"/>
      <c r="H1949" s="14" t="str">
        <f>HYPERLINK("https://pulti.ua/kondicionery/originalnyiy-pult-dlya-konditsionera-chigo-zh-ja-03")</f>
        <v>https://pulti.ua/kondicionery/originalnyiy-pult-dlya-konditsionera-chigo-zh-ja-03</v>
      </c>
    </row>
    <row r="1950" spans="1:8" s="18" customFormat="1" ht="15" customHeight="1">
      <c r="A1950" s="11">
        <v>4206</v>
      </c>
      <c r="B1950" s="12" t="s">
        <v>2031</v>
      </c>
      <c r="C1950" s="13" t="s">
        <v>1238</v>
      </c>
      <c r="D1950" s="14"/>
      <c r="E1950" s="9">
        <v>153.8</v>
      </c>
      <c r="F1950" s="9">
        <f t="shared" si="60"/>
        <v>0</v>
      </c>
      <c r="G1950" s="13"/>
      <c r="H1950" s="14" t="str">
        <f>HYPERLINK("https://pulti.ua/kondicionery/originalnyiy-pult-dlya-konditsionera-chigo-zh-zh-03")</f>
        <v>https://pulti.ua/kondicionery/originalnyiy-pult-dlya-konditsionera-chigo-zh-zh-03</v>
      </c>
    </row>
    <row r="1951" spans="1:8" s="18" customFormat="1" ht="15" customHeight="1">
      <c r="A1951" s="11">
        <v>4365</v>
      </c>
      <c r="B1951" s="12" t="s">
        <v>2032</v>
      </c>
      <c r="C1951" s="13" t="s">
        <v>1238</v>
      </c>
      <c r="D1951" s="14"/>
      <c r="E1951" s="9">
        <v>187.5</v>
      </c>
      <c r="F1951" s="9">
        <f t="shared" si="60"/>
        <v>0</v>
      </c>
      <c r="G1951" s="13"/>
      <c r="H1951" s="14" t="str">
        <f>HYPERLINK("https://pulti.ua/kondicionery/originalnyiy-pult-dlya-konditsionera-electra-rc-3")</f>
        <v>https://pulti.ua/kondicionery/originalnyiy-pult-dlya-konditsionera-electra-rc-3</v>
      </c>
    </row>
    <row r="1952" spans="1:8" s="18" customFormat="1" ht="15" customHeight="1">
      <c r="A1952" s="11">
        <v>4220</v>
      </c>
      <c r="B1952" s="12" t="s">
        <v>2033</v>
      </c>
      <c r="C1952" s="13" t="s">
        <v>1238</v>
      </c>
      <c r="D1952" s="14"/>
      <c r="E1952" s="9">
        <v>187.5</v>
      </c>
      <c r="F1952" s="9">
        <f t="shared" si="60"/>
        <v>0</v>
      </c>
      <c r="G1952" s="13"/>
      <c r="H1952" s="14" t="str">
        <f>HYPERLINK("https://pulti.ua/kondicionery/originalnyiy-pult-dlya-konditsionera-electrolux-yr-w06")</f>
        <v>https://pulti.ua/kondicionery/originalnyiy-pult-dlya-konditsionera-electrolux-yr-w06</v>
      </c>
    </row>
    <row r="1953" spans="1:8" s="18" customFormat="1" ht="15" customHeight="1">
      <c r="A1953" s="11">
        <v>4215</v>
      </c>
      <c r="B1953" s="12" t="s">
        <v>2034</v>
      </c>
      <c r="C1953" s="13" t="s">
        <v>1238</v>
      </c>
      <c r="D1953" s="14"/>
      <c r="E1953" s="9">
        <v>161.3</v>
      </c>
      <c r="F1953" s="9">
        <f t="shared" si="60"/>
        <v>0</v>
      </c>
      <c r="G1953" s="13"/>
      <c r="H1953" s="14" t="str">
        <f>HYPERLINK("https://pulti.ua/kondicionery/originalnyiy-pult-dlya-konditsionera-friedrich-akb73616103")</f>
        <v>https://pulti.ua/kondicionery/originalnyiy-pult-dlya-konditsionera-friedrich-akb73616103</v>
      </c>
    </row>
    <row r="1954" spans="1:8" s="18" customFormat="1" ht="15" customHeight="1">
      <c r="A1954" s="11">
        <v>4222</v>
      </c>
      <c r="B1954" s="12" t="s">
        <v>2035</v>
      </c>
      <c r="C1954" s="13" t="s">
        <v>1238</v>
      </c>
      <c r="D1954" s="14"/>
      <c r="E1954" s="9">
        <v>168.8</v>
      </c>
      <c r="F1954" s="9">
        <f t="shared" si="60"/>
        <v>0</v>
      </c>
      <c r="G1954" s="13"/>
      <c r="H1954" s="14" t="str">
        <f>HYPERLINK("https://pulti.ua/kondicionery/originalnyiy-pult-dlya-konditsionera-frigidaire-0010401715ax")</f>
        <v>https://pulti.ua/kondicionery/originalnyiy-pult-dlya-konditsionera-frigidaire-0010401715ax</v>
      </c>
    </row>
    <row r="1955" spans="1:8" s="18" customFormat="1" ht="15" customHeight="1">
      <c r="A1955" s="11">
        <v>4307</v>
      </c>
      <c r="B1955" s="12" t="s">
        <v>2036</v>
      </c>
      <c r="C1955" s="13" t="s">
        <v>1238</v>
      </c>
      <c r="D1955" s="14"/>
      <c r="E1955" s="9">
        <v>206.3</v>
      </c>
      <c r="F1955" s="9">
        <f t="shared" si="60"/>
        <v>0</v>
      </c>
      <c r="G1955" s="13"/>
      <c r="H1955" s="14" t="str">
        <f>HYPERLINK("https://pulti.ua/kondicionery/originalnyiy-pult-dlya-konditsionera-gree-yt1f")</f>
        <v>https://pulti.ua/kondicionery/originalnyiy-pult-dlya-konditsionera-gree-yt1f</v>
      </c>
    </row>
    <row r="1956" spans="1:8" s="18" customFormat="1" ht="15" customHeight="1">
      <c r="A1956" s="11">
        <v>4255</v>
      </c>
      <c r="B1956" s="12" t="s">
        <v>2037</v>
      </c>
      <c r="C1956" s="13" t="s">
        <v>1238</v>
      </c>
      <c r="D1956" s="14"/>
      <c r="E1956" s="9">
        <v>187.5</v>
      </c>
      <c r="F1956" s="9">
        <f t="shared" si="60"/>
        <v>0</v>
      </c>
      <c r="G1956" s="13"/>
      <c r="H1956" s="14" t="str">
        <f>HYPERLINK("https://pulti.ua/kondicionery/originalnyiy-pult-dlya-konditsionera-parker-yx1f")</f>
        <v>https://pulti.ua/kondicionery/originalnyiy-pult-dlya-konditsionera-parker-yx1f</v>
      </c>
    </row>
    <row r="1957" spans="1:8" s="18" customFormat="1" ht="15" customHeight="1">
      <c r="A1957" s="11">
        <v>4217</v>
      </c>
      <c r="B1957" s="12" t="s">
        <v>2038</v>
      </c>
      <c r="C1957" s="13" t="s">
        <v>1238</v>
      </c>
      <c r="D1957" s="14"/>
      <c r="E1957" s="9">
        <v>187.5</v>
      </c>
      <c r="F1957" s="9">
        <f t="shared" si="60"/>
        <v>0</v>
      </c>
      <c r="G1957" s="13"/>
      <c r="H1957" s="14" t="str">
        <f>HYPERLINK("https://pulti.ua/kondicionery/originalnyiy-pult-dlya-konditsionera-komeco-0010401996")</f>
        <v>https://pulti.ua/kondicionery/originalnyiy-pult-dlya-konditsionera-komeco-0010401996</v>
      </c>
    </row>
    <row r="1958" spans="1:8" s="18" customFormat="1" ht="15" customHeight="1">
      <c r="A1958" s="11">
        <v>4219</v>
      </c>
      <c r="B1958" s="12" t="s">
        <v>2039</v>
      </c>
      <c r="C1958" s="13" t="s">
        <v>1238</v>
      </c>
      <c r="D1958" s="14"/>
      <c r="E1958" s="9">
        <v>153.8</v>
      </c>
      <c r="F1958" s="9">
        <f t="shared" si="60"/>
        <v>0</v>
      </c>
      <c r="G1958" s="13"/>
      <c r="H1958" s="14" t="str">
        <f>HYPERLINK("https://pulti.ua/kondicionery/originalnyiy-pult-dlya-konditsionera-lg-0010401715ad")</f>
        <v>https://pulti.ua/kondicionery/originalnyiy-pult-dlya-konditsionera-lg-0010401715ad</v>
      </c>
    </row>
    <row r="1959" spans="1:8" s="18" customFormat="1" ht="15" customHeight="1">
      <c r="A1959" s="11">
        <v>4198</v>
      </c>
      <c r="B1959" s="12" t="s">
        <v>2040</v>
      </c>
      <c r="C1959" s="13" t="s">
        <v>1238</v>
      </c>
      <c r="D1959" s="14"/>
      <c r="E1959" s="9">
        <v>180</v>
      </c>
      <c r="F1959" s="9">
        <f t="shared" si="60"/>
        <v>0</v>
      </c>
      <c r="G1959" s="13"/>
      <c r="H1959" s="14" t="str">
        <f>HYPERLINK("https://pulti.ua/kondicionery/originalnyiy-pult-dlya-konditsionera-midea-r07-bge")</f>
        <v>https://pulti.ua/kondicionery/originalnyiy-pult-dlya-konditsionera-midea-r07-bge</v>
      </c>
    </row>
    <row r="1960" spans="1:8" s="18" customFormat="1" ht="15" customHeight="1">
      <c r="A1960" s="11">
        <v>4199</v>
      </c>
      <c r="B1960" s="12" t="s">
        <v>2041</v>
      </c>
      <c r="C1960" s="13" t="s">
        <v>1238</v>
      </c>
      <c r="D1960" s="14"/>
      <c r="E1960" s="9">
        <v>153.8</v>
      </c>
      <c r="F1960" s="9">
        <f t="shared" si="60"/>
        <v>0</v>
      </c>
      <c r="G1960" s="13"/>
      <c r="H1960" s="14" t="str">
        <f>HYPERLINK("https://pulti.ua/kondicionery/originalnyiy-pult-dlya-konditsionera-midea-sensia")</f>
        <v>https://pulti.ua/kondicionery/originalnyiy-pult-dlya-konditsionera-midea-sensia</v>
      </c>
    </row>
    <row r="1961" spans="1:8" s="18" customFormat="1" ht="15" customHeight="1">
      <c r="A1961" s="11">
        <v>4234</v>
      </c>
      <c r="B1961" s="12" t="s">
        <v>2042</v>
      </c>
      <c r="C1961" s="13" t="s">
        <v>1238</v>
      </c>
      <c r="D1961" s="14"/>
      <c r="E1961" s="9">
        <v>168.8</v>
      </c>
      <c r="F1961" s="9">
        <f t="shared" si="60"/>
        <v>0</v>
      </c>
      <c r="G1961" s="13"/>
      <c r="H1961" s="14" t="str">
        <f>HYPERLINK("https://pulti.ua/kondicionery/originalnyiy-pult-dlya-konditsionera-samsung-db63-03556x003")</f>
        <v>https://pulti.ua/kondicionery/originalnyiy-pult-dlya-konditsionera-samsung-db63-03556x003</v>
      </c>
    </row>
    <row r="1962" spans="1:8" s="18" customFormat="1" ht="15" customHeight="1">
      <c r="A1962" s="11">
        <v>4207</v>
      </c>
      <c r="B1962" s="12" t="s">
        <v>2043</v>
      </c>
      <c r="C1962" s="13" t="s">
        <v>1238</v>
      </c>
      <c r="D1962" s="14"/>
      <c r="E1962" s="9">
        <v>206.3</v>
      </c>
      <c r="F1962" s="9">
        <f t="shared" si="60"/>
        <v>0</v>
      </c>
      <c r="G1962" s="13"/>
      <c r="H1962" s="14" t="str">
        <f>HYPERLINK("https://pulti.ua/kondicionery/originalnyiy-pult-dlya-konditsionera-soleusair-zcf-tl-05")</f>
        <v>https://pulti.ua/kondicionery/originalnyiy-pult-dlya-konditsionera-soleusair-zcf-tl-05</v>
      </c>
    </row>
    <row r="1963" spans="1:8" s="18" customFormat="1" ht="15" customHeight="1">
      <c r="A1963" s="11">
        <v>4214</v>
      </c>
      <c r="B1963" s="12" t="s">
        <v>2044</v>
      </c>
      <c r="C1963" s="13" t="s">
        <v>1238</v>
      </c>
      <c r="D1963" s="14"/>
      <c r="E1963" s="9">
        <v>165</v>
      </c>
      <c r="F1963" s="9">
        <f t="shared" si="60"/>
        <v>0</v>
      </c>
      <c r="G1963" s="13"/>
      <c r="H1963" s="14" t="str">
        <f>HYPERLINK("https://pulti.ua/kondicionery/originalnyiy-pult-dlya-konditsionera-supra-ykr-h-512e")</f>
        <v>https://pulti.ua/kondicionery/originalnyiy-pult-dlya-konditsionera-supra-ykr-h-512e</v>
      </c>
    </row>
    <row r="1964" spans="1:8" s="18" customFormat="1" ht="15" customHeight="1">
      <c r="A1964" s="11">
        <v>4232</v>
      </c>
      <c r="B1964" s="12" t="s">
        <v>2045</v>
      </c>
      <c r="C1964" s="13" t="s">
        <v>1238</v>
      </c>
      <c r="D1964" s="14"/>
      <c r="E1964" s="9">
        <v>206.3</v>
      </c>
      <c r="F1964" s="9">
        <f t="shared" si="60"/>
        <v>0</v>
      </c>
      <c r="G1964" s="13"/>
      <c r="H1964" s="14" t="str">
        <f>HYPERLINK("https://pulti.ua/kondicionery/originalnyiy-pult-dlya-konditsionera-voltas-yk-h-006e")</f>
        <v>https://pulti.ua/kondicionery/originalnyiy-pult-dlya-konditsionera-voltas-yk-h-006e</v>
      </c>
    </row>
    <row r="1965" spans="1:8" s="18" customFormat="1" ht="15" customHeight="1">
      <c r="A1965" s="11">
        <v>4790</v>
      </c>
      <c r="B1965" s="12" t="s">
        <v>1264</v>
      </c>
      <c r="C1965" s="13" t="s">
        <v>14</v>
      </c>
      <c r="D1965" s="15" t="s">
        <v>1599</v>
      </c>
      <c r="E1965" s="9">
        <v>1050</v>
      </c>
      <c r="F1965" s="9"/>
      <c r="G1965" s="13"/>
      <c r="H1965" s="14" t="str">
        <f>HYPERLINK("https://pulti.ua/tv/originalnyiy-pult-hisense-erf2f60h-s-mikrofonom")</f>
        <v>https://pulti.ua/tv/originalnyiy-pult-hisense-erf2f60h-s-mikrofonom</v>
      </c>
    </row>
    <row r="1966" spans="1:8" s="18" customFormat="1" ht="15" customHeight="1">
      <c r="A1966" s="11">
        <v>4543</v>
      </c>
      <c r="B1966" s="12" t="s">
        <v>2046</v>
      </c>
      <c r="C1966" s="13" t="s">
        <v>1256</v>
      </c>
      <c r="D1966" s="14"/>
      <c r="E1966" s="9">
        <v>525</v>
      </c>
      <c r="F1966" s="9">
        <f aca="true" t="shared" si="61" ref="F1966:F1972">D1966*E1966</f>
        <v>0</v>
      </c>
      <c r="G1966" s="13"/>
      <c r="H1966" s="14" t="str">
        <f>HYPERLINK("https://pulti.ua/mediapleery/pult-dlya-xiaomi-mi-box-3-bluetooth")</f>
        <v>https://pulti.ua/mediapleery/pult-dlya-xiaomi-mi-box-3-bluetooth</v>
      </c>
    </row>
    <row r="1967" spans="1:8" s="18" customFormat="1" ht="15" customHeight="1">
      <c r="A1967" s="11">
        <v>4542</v>
      </c>
      <c r="B1967" s="12" t="s">
        <v>2047</v>
      </c>
      <c r="C1967" s="13" t="s">
        <v>1256</v>
      </c>
      <c r="D1967" s="14"/>
      <c r="E1967" s="9">
        <v>468.8</v>
      </c>
      <c r="F1967" s="9">
        <f t="shared" si="61"/>
        <v>0</v>
      </c>
      <c r="G1967" s="13"/>
      <c r="H1967" s="14" t="str">
        <f>HYPERLINK("https://pulti.ua/mediapleery/pult-dlya-xiaomi-mi-box-s-bluetooth")</f>
        <v>https://pulti.ua/mediapleery/pult-dlya-xiaomi-mi-box-s-bluetooth</v>
      </c>
    </row>
    <row r="1968" spans="1:8" s="18" customFormat="1" ht="15" customHeight="1">
      <c r="A1968" s="11">
        <v>4510</v>
      </c>
      <c r="B1968" s="12" t="s">
        <v>2048</v>
      </c>
      <c r="C1968" s="13" t="s">
        <v>14</v>
      </c>
      <c r="D1968" s="14"/>
      <c r="E1968" s="9">
        <v>487.5</v>
      </c>
      <c r="F1968" s="9">
        <f t="shared" si="61"/>
        <v>0</v>
      </c>
      <c r="G1968" s="13"/>
      <c r="H1968" s="14" t="str">
        <f>HYPERLINK("https://pulti.ua/tv/originalnyiy-pult-xiaomi-mi-led-tv-4a-32")</f>
        <v>https://pulti.ua/tv/originalnyiy-pult-xiaomi-mi-led-tv-4a-32</v>
      </c>
    </row>
    <row r="1969" spans="1:8" s="18" customFormat="1" ht="15" customHeight="1">
      <c r="A1969" s="11">
        <v>4541</v>
      </c>
      <c r="B1969" s="12" t="s">
        <v>2049</v>
      </c>
      <c r="C1969" s="13" t="s">
        <v>14</v>
      </c>
      <c r="D1969" s="14"/>
      <c r="E1969" s="9">
        <v>600</v>
      </c>
      <c r="F1969" s="9">
        <f t="shared" si="61"/>
        <v>0</v>
      </c>
      <c r="G1969" s="13"/>
      <c r="H1969" s="14" t="str">
        <f>HYPERLINK("https://pulti.ua/tv/pult-dlya-xiaomi-mi-tv-bluetooth")</f>
        <v>https://pulti.ua/tv/pult-dlya-xiaomi-mi-tv-bluetooth</v>
      </c>
    </row>
    <row r="1970" spans="1:8" s="18" customFormat="1" ht="15" customHeight="1">
      <c r="A1970" s="11">
        <v>4618</v>
      </c>
      <c r="B1970" s="12" t="s">
        <v>2050</v>
      </c>
      <c r="C1970" s="13" t="s">
        <v>1256</v>
      </c>
      <c r="D1970" s="14"/>
      <c r="E1970" s="9">
        <v>562.5</v>
      </c>
      <c r="F1970" s="9">
        <f t="shared" si="61"/>
        <v>0</v>
      </c>
      <c r="G1970" s="13"/>
      <c r="H1970" s="14" t="str">
        <f>HYPERLINK("https://pulti.ua/mediapleery/pult-dlya-xiaomi-tv-stick-bluetooth")</f>
        <v>https://pulti.ua/mediapleery/pult-dlya-xiaomi-tv-stick-bluetooth</v>
      </c>
    </row>
    <row r="1971" spans="1:8" s="18" customFormat="1" ht="15" customHeight="1">
      <c r="A1971" s="11">
        <v>4544</v>
      </c>
      <c r="B1971" s="12" t="s">
        <v>2051</v>
      </c>
      <c r="C1971" s="13" t="s">
        <v>14</v>
      </c>
      <c r="D1971" s="14"/>
      <c r="E1971" s="9">
        <v>412.5</v>
      </c>
      <c r="F1971" s="9">
        <f t="shared" si="61"/>
        <v>0</v>
      </c>
      <c r="G1971" s="13"/>
      <c r="H1971" s="14" t="str">
        <f>HYPERLINK("https://pulti.ua/tv/pult-dlya-xiaomi-xmrm-00a")</f>
        <v>https://pulti.ua/tv/pult-dlya-xiaomi-xmrm-00a</v>
      </c>
    </row>
    <row r="1972" spans="1:8" s="18" customFormat="1" ht="15" customHeight="1">
      <c r="A1972" s="11">
        <v>4466</v>
      </c>
      <c r="B1972" s="12" t="s">
        <v>2052</v>
      </c>
      <c r="C1972" s="13" t="s">
        <v>1265</v>
      </c>
      <c r="D1972" s="14"/>
      <c r="E1972" s="9">
        <v>296.3</v>
      </c>
      <c r="F1972" s="9">
        <f t="shared" si="61"/>
        <v>0</v>
      </c>
      <c r="G1972" s="13"/>
      <c r="H1972" s="14" t="str">
        <f>HYPERLINK("https://pulti.ua/garajnie-vorota/pult-dlya-vorot-i-shlagbaumov-an-motors-at-4")</f>
        <v>https://pulti.ua/garajnie-vorota/pult-dlya-vorot-i-shlagbaumov-an-motors-at-4</v>
      </c>
    </row>
    <row r="1973" spans="1:8" s="18" customFormat="1" ht="15" customHeight="1">
      <c r="A1973" s="11">
        <v>4464</v>
      </c>
      <c r="B1973" s="12" t="s">
        <v>2053</v>
      </c>
      <c r="C1973" s="13" t="s">
        <v>1265</v>
      </c>
      <c r="D1973" s="15" t="s">
        <v>2054</v>
      </c>
      <c r="E1973" s="9">
        <v>337.5</v>
      </c>
      <c r="F1973" s="9"/>
      <c r="G1973" s="13"/>
      <c r="H1973" s="14" t="str">
        <f>HYPERLINK("https://pulti.ua/garajnie-vorota/pult-dlya-vorot-i-shlagbaumov-bft-mitto-2")</f>
        <v>https://pulti.ua/garajnie-vorota/pult-dlya-vorot-i-shlagbaumov-bft-mitto-2</v>
      </c>
    </row>
    <row r="1974" spans="1:8" s="18" customFormat="1" ht="15" customHeight="1">
      <c r="A1974" s="11">
        <v>3828</v>
      </c>
      <c r="B1974" s="12" t="s">
        <v>2055</v>
      </c>
      <c r="C1974" s="13" t="s">
        <v>1265</v>
      </c>
      <c r="D1974" s="14"/>
      <c r="E1974" s="9">
        <v>450</v>
      </c>
      <c r="F1974" s="9">
        <f>D1974*E1974</f>
        <v>0</v>
      </c>
      <c r="G1974" s="13"/>
      <c r="H1974" s="14" t="str">
        <f>HYPERLINK("https://pulti.ua/garajnie-vorota/pult-dlja-garajnih-vorot-i-shlagbaumov-came-top-432ee")</f>
        <v>https://pulti.ua/garajnie-vorota/pult-dlja-garajnih-vorot-i-shlagbaumov-came-top-432ee</v>
      </c>
    </row>
    <row r="1975" spans="1:8" s="18" customFormat="1" ht="15" customHeight="1">
      <c r="A1975" s="11">
        <v>4195</v>
      </c>
      <c r="B1975" s="12" t="s">
        <v>2056</v>
      </c>
      <c r="C1975" s="13" t="s">
        <v>1265</v>
      </c>
      <c r="D1975" s="14"/>
      <c r="E1975" s="9">
        <v>431.3</v>
      </c>
      <c r="F1975" s="9">
        <f>D1975*E1975</f>
        <v>0</v>
      </c>
      <c r="G1975" s="13"/>
      <c r="H1975" s="14" t="str">
        <f>HYPERLINK("https://pulti.ua/garajnie-vorota/pult-dlja-garajnih-vorot-i-shlagbaumov-came-top-432ev")</f>
        <v>https://pulti.ua/garajnie-vorota/pult-dlja-garajnih-vorot-i-shlagbaumov-came-top-432ev</v>
      </c>
    </row>
    <row r="1976" spans="1:8" s="18" customFormat="1" ht="15" customHeight="1">
      <c r="A1976" s="11">
        <v>3955</v>
      </c>
      <c r="B1976" s="12" t="s">
        <v>2057</v>
      </c>
      <c r="C1976" s="13" t="s">
        <v>1265</v>
      </c>
      <c r="D1976" s="14"/>
      <c r="E1976" s="9">
        <v>251.3</v>
      </c>
      <c r="F1976" s="9">
        <f>D1976*E1976</f>
        <v>0</v>
      </c>
      <c r="G1976" s="13"/>
      <c r="H1976" s="14" t="str">
        <f>HYPERLINK("https://pulti.ua/garajnie-vorota/pult-dlja-garajnih-vorot-i-shlagbaumov-came-top432-na")</f>
        <v>https://pulti.ua/garajnie-vorota/pult-dlja-garajnih-vorot-i-shlagbaumov-came-top432-na</v>
      </c>
    </row>
    <row r="1977" spans="1:8" s="18" customFormat="1" ht="15" customHeight="1">
      <c r="A1977" s="11">
        <v>4073</v>
      </c>
      <c r="B1977" s="12" t="s">
        <v>2058</v>
      </c>
      <c r="C1977" s="13" t="s">
        <v>1265</v>
      </c>
      <c r="D1977" s="14"/>
      <c r="E1977" s="9">
        <v>543.8</v>
      </c>
      <c r="F1977" s="9">
        <f>D1977*E1977</f>
        <v>0</v>
      </c>
      <c r="G1977" s="13"/>
      <c r="H1977" s="14" t="str">
        <f>HYPERLINK("https://pulti.ua/garajnie-vorota/pult-dlya-garazhnyih-vorot-i-shlagbaumov-doorhan-transmiter-4")</f>
        <v>https://pulti.ua/garajnie-vorota/pult-dlya-garazhnyih-vorot-i-shlagbaumov-doorhan-transmiter-4</v>
      </c>
    </row>
    <row r="1978" spans="1:8" s="18" customFormat="1" ht="15" customHeight="1">
      <c r="A1978" s="11">
        <v>4598</v>
      </c>
      <c r="B1978" s="12" t="s">
        <v>2059</v>
      </c>
      <c r="C1978" s="13" t="s">
        <v>1265</v>
      </c>
      <c r="D1978" s="14"/>
      <c r="E1978" s="9">
        <v>431.3</v>
      </c>
      <c r="F1978" s="9">
        <f>D1978*E1978</f>
        <v>0</v>
      </c>
      <c r="G1978" s="13"/>
      <c r="H1978" s="14" t="str">
        <f>HYPERLINK("https://pulti.ua/garajnie-vorota/pult-dlya-vorot-i-shlagbaumov-faac-xt2-433-slh-lr")</f>
        <v>https://pulti.ua/garajnie-vorota/pult-dlya-vorot-i-shlagbaumov-faac-xt2-433-slh-lr</v>
      </c>
    </row>
    <row r="1979" spans="1:8" s="18" customFormat="1" ht="15" customHeight="1">
      <c r="A1979" s="11">
        <v>4884</v>
      </c>
      <c r="B1979" s="12" t="s">
        <v>2060</v>
      </c>
      <c r="C1979" s="13" t="s">
        <v>1265</v>
      </c>
      <c r="D1979" s="15" t="s">
        <v>2054</v>
      </c>
      <c r="E1979" s="9"/>
      <c r="F1979" s="9"/>
      <c r="G1979" s="13"/>
      <c r="H1979" s="14"/>
    </row>
    <row r="1980" spans="1:8" s="18" customFormat="1" ht="15" customHeight="1">
      <c r="A1980" s="11">
        <v>4479</v>
      </c>
      <c r="B1980" s="12" t="s">
        <v>2061</v>
      </c>
      <c r="C1980" s="13" t="s">
        <v>1265</v>
      </c>
      <c r="D1980" s="15" t="s">
        <v>2054</v>
      </c>
      <c r="E1980" s="9">
        <v>375</v>
      </c>
      <c r="F1980" s="9"/>
      <c r="G1980" s="13"/>
      <c r="H1980" s="14" t="str">
        <f>HYPERLINK("https://pulti.ua/garajnie-vorota/pult-dlya-vorot-i-shlagbaumov-nice-era-inti-2")</f>
        <v>https://pulti.ua/garajnie-vorota/pult-dlya-vorot-i-shlagbaumov-nice-era-inti-2</v>
      </c>
    </row>
    <row r="1981" spans="1:8" s="18" customFormat="1" ht="15" customHeight="1">
      <c r="A1981" s="11">
        <v>4465</v>
      </c>
      <c r="B1981" s="12" t="s">
        <v>2062</v>
      </c>
      <c r="C1981" s="13" t="s">
        <v>1265</v>
      </c>
      <c r="D1981" s="15" t="s">
        <v>2054</v>
      </c>
      <c r="E1981" s="9">
        <v>337.5</v>
      </c>
      <c r="F1981" s="9"/>
      <c r="G1981" s="13"/>
      <c r="H1981" s="14" t="str">
        <f>HYPERLINK("https://pulti.ua/garajnie-vorota/pult-dlya-vorot-i-shlagbaumov-nice-flor-s")</f>
        <v>https://pulti.ua/garajnie-vorota/pult-dlya-vorot-i-shlagbaumov-nice-flor-s</v>
      </c>
    </row>
    <row r="1982" spans="1:8" s="18" customFormat="1" ht="15" customHeight="1">
      <c r="A1982" s="11">
        <v>4087</v>
      </c>
      <c r="B1982" s="12" t="s">
        <v>2063</v>
      </c>
      <c r="C1982" s="13" t="s">
        <v>1265</v>
      </c>
      <c r="D1982" s="14"/>
      <c r="E1982" s="9">
        <v>281.3</v>
      </c>
      <c r="F1982" s="9">
        <f aca="true" t="shared" si="62" ref="F1982:F1987">D1982*E1982</f>
        <v>0</v>
      </c>
      <c r="G1982" s="13"/>
      <c r="H1982" s="14" t="str">
        <f>HYPERLINK("https://pulti.ua/garajnie-vorota/pult-dlya-garazhnyih-vorot-i-shlagbaumov-rmc-168sl")</f>
        <v>https://pulti.ua/garajnie-vorota/pult-dlya-garazhnyih-vorot-i-shlagbaumov-rmc-168sl</v>
      </c>
    </row>
    <row r="1983" spans="1:8" s="18" customFormat="1" ht="15" customHeight="1">
      <c r="A1983" s="11">
        <v>4088</v>
      </c>
      <c r="B1983" s="12" t="s">
        <v>2064</v>
      </c>
      <c r="C1983" s="13" t="s">
        <v>1265</v>
      </c>
      <c r="D1983" s="14"/>
      <c r="E1983" s="9">
        <v>318.8</v>
      </c>
      <c r="F1983" s="9">
        <f t="shared" si="62"/>
        <v>0</v>
      </c>
      <c r="G1983" s="13"/>
      <c r="H1983" s="14" t="str">
        <f>HYPERLINK("https://pulti.ua/garajnie-vorota/pult-dlya-garazhnyih-vorot-i-shlagbaumov-rmc-235sl")</f>
        <v>https://pulti.ua/garajnie-vorota/pult-dlya-garazhnyih-vorot-i-shlagbaumov-rmc-235sl</v>
      </c>
    </row>
    <row r="1984" spans="1:8" s="18" customFormat="1" ht="15" customHeight="1">
      <c r="A1984" s="11">
        <v>4086</v>
      </c>
      <c r="B1984" s="12" t="s">
        <v>2065</v>
      </c>
      <c r="C1984" s="13" t="s">
        <v>1265</v>
      </c>
      <c r="D1984" s="14"/>
      <c r="E1984" s="9">
        <v>442.5</v>
      </c>
      <c r="F1984" s="9">
        <f t="shared" si="62"/>
        <v>0</v>
      </c>
      <c r="G1984" s="13"/>
      <c r="H1984" s="14" t="str">
        <f>HYPERLINK("https://pulti.ua/garajnie-vorota/pult-dlya-garazhnyih-vorot-i-shlagbaumov-rmc-255chml")</f>
        <v>https://pulti.ua/garajnie-vorota/pult-dlya-garazhnyih-vorot-i-shlagbaumov-rmc-255chml</v>
      </c>
    </row>
    <row r="1985" spans="1:8" s="18" customFormat="1" ht="15" customHeight="1">
      <c r="A1985" s="11">
        <v>4089</v>
      </c>
      <c r="B1985" s="12" t="s">
        <v>2066</v>
      </c>
      <c r="C1985" s="13" t="s">
        <v>1265</v>
      </c>
      <c r="D1985" s="14"/>
      <c r="E1985" s="9">
        <v>318.8</v>
      </c>
      <c r="F1985" s="9">
        <f t="shared" si="62"/>
        <v>0</v>
      </c>
      <c r="G1985" s="13"/>
      <c r="H1985" s="14" t="str">
        <f>HYPERLINK("https://pulti.ua/garajnie-vorota/pult-dlya-garazhnyih-vorot-i-shlagbaumov-rmc-611")</f>
        <v>https://pulti.ua/garajnie-vorota/pult-dlya-garazhnyih-vorot-i-shlagbaumov-rmc-611</v>
      </c>
    </row>
    <row r="1986" spans="1:8" s="18" customFormat="1" ht="15" customHeight="1">
      <c r="A1986" s="11">
        <v>4090</v>
      </c>
      <c r="B1986" s="12" t="s">
        <v>2067</v>
      </c>
      <c r="C1986" s="13" t="s">
        <v>1265</v>
      </c>
      <c r="D1986" s="14"/>
      <c r="E1986" s="9">
        <v>322.5</v>
      </c>
      <c r="F1986" s="9">
        <f t="shared" si="62"/>
        <v>0</v>
      </c>
      <c r="G1986" s="13"/>
      <c r="H1986" s="14" t="str">
        <f>HYPERLINK("https://pulti.ua/garajnie-vorota/pult-dlya-garazhnyih-vorot-i-shlagbaumov-y2k10l")</f>
        <v>https://pulti.ua/garajnie-vorota/pult-dlya-garazhnyih-vorot-i-shlagbaumov-y2k10l</v>
      </c>
    </row>
    <row r="1987" spans="1:8" s="18" customFormat="1" ht="15" customHeight="1">
      <c r="A1987" s="11">
        <v>4066</v>
      </c>
      <c r="B1987" s="12" t="s">
        <v>2068</v>
      </c>
      <c r="C1987" s="13" t="s">
        <v>1265</v>
      </c>
      <c r="D1987" s="14"/>
      <c r="E1987" s="9">
        <v>225</v>
      </c>
      <c r="F1987" s="9">
        <f t="shared" si="62"/>
        <v>0</v>
      </c>
      <c r="G1987" s="13"/>
      <c r="H1987" s="14" t="str">
        <f>HYPERLINK("https://pulti.ua/garajnie-vorota/pult-dlya-garazhnyih-vorot-i-shlagbaumov-smg-001st")</f>
        <v>https://pulti.ua/garajnie-vorota/pult-dlya-garazhnyih-vorot-i-shlagbaumov-smg-001st</v>
      </c>
    </row>
    <row r="1988" spans="1:8" s="18" customFormat="1" ht="15" customHeight="1">
      <c r="A1988" s="11">
        <v>4168</v>
      </c>
      <c r="B1988" s="12" t="s">
        <v>2069</v>
      </c>
      <c r="C1988" s="13" t="s">
        <v>1265</v>
      </c>
      <c r="D1988" s="15" t="s">
        <v>2054</v>
      </c>
      <c r="E1988" s="9">
        <v>213.8</v>
      </c>
      <c r="F1988" s="9"/>
      <c r="G1988" s="13"/>
      <c r="H1988" s="14" t="str">
        <f>HYPERLINK("https://pulti.ua/garajnie-vorota/pult-dlja-garajnih-vorot-i-shlagbaumov-smg-002")</f>
        <v>https://pulti.ua/garajnie-vorota/pult-dlja-garajnih-vorot-i-shlagbaumov-smg-002</v>
      </c>
    </row>
    <row r="1989" spans="1:8" s="18" customFormat="1" ht="15" customHeight="1">
      <c r="A1989" s="11">
        <v>4169</v>
      </c>
      <c r="B1989" s="12" t="s">
        <v>2070</v>
      </c>
      <c r="C1989" s="13" t="s">
        <v>1265</v>
      </c>
      <c r="D1989" s="14"/>
      <c r="E1989" s="9">
        <v>213.8</v>
      </c>
      <c r="F1989" s="9">
        <f>D1989*E1989</f>
        <v>0</v>
      </c>
      <c r="G1989" s="13"/>
      <c r="H1989" s="14" t="str">
        <f>HYPERLINK("https://pulti.ua/garajnie-vorota/pult-dlja-garajnih-vorot-i-shlagbaumov-smg-007")</f>
        <v>https://pulti.ua/garajnie-vorota/pult-dlja-garajnih-vorot-i-shlagbaumov-smg-007</v>
      </c>
    </row>
    <row r="1990" spans="1:8" s="18" customFormat="1" ht="15" customHeight="1">
      <c r="A1990" s="11">
        <v>4170</v>
      </c>
      <c r="B1990" s="12" t="s">
        <v>2071</v>
      </c>
      <c r="C1990" s="13" t="s">
        <v>1265</v>
      </c>
      <c r="D1990" s="14"/>
      <c r="E1990" s="9">
        <v>213.8</v>
      </c>
      <c r="F1990" s="9">
        <f>D1990*E1990</f>
        <v>0</v>
      </c>
      <c r="G1990" s="13"/>
      <c r="H1990" s="14" t="str">
        <f>HYPERLINK("https://pulti.ua/garajnie-vorota/pult-dlja-garajnih-vorot-i-shlagbaumov-smg-009")</f>
        <v>https://pulti.ua/garajnie-vorota/pult-dlja-garajnih-vorot-i-shlagbaumov-smg-009</v>
      </c>
    </row>
    <row r="1991" spans="1:8" s="18" customFormat="1" ht="15" customHeight="1">
      <c r="A1991" s="11">
        <v>4370</v>
      </c>
      <c r="B1991" s="12" t="s">
        <v>2072</v>
      </c>
      <c r="C1991" s="13" t="s">
        <v>1265</v>
      </c>
      <c r="D1991" s="15" t="s">
        <v>2054</v>
      </c>
      <c r="E1991" s="9">
        <v>375</v>
      </c>
      <c r="F1991" s="9"/>
      <c r="G1991" s="13"/>
      <c r="H1991" s="14" t="str">
        <f>HYPERLINK("https://pulti.ua/garajnie-vorota/pult-dlya-garazhnyih-vorot-i-shlagbaumov-smg-233")</f>
        <v>https://pulti.ua/garajnie-vorota/pult-dlya-garazhnyih-vorot-i-shlagbaumov-smg-233</v>
      </c>
    </row>
    <row r="1992" spans="1:8" s="18" customFormat="1" ht="15" customHeight="1">
      <c r="A1992" s="14"/>
      <c r="B1992" s="16" t="s">
        <v>1266</v>
      </c>
      <c r="C1992" s="14"/>
      <c r="D1992" s="14"/>
      <c r="E1992" s="9"/>
      <c r="F1992" s="9"/>
      <c r="G1992" s="13"/>
      <c r="H1992" s="14"/>
    </row>
    <row r="1993" spans="1:8" s="18" customFormat="1" ht="15" customHeight="1">
      <c r="A1993" s="11">
        <v>3545</v>
      </c>
      <c r="B1993" s="12" t="s">
        <v>2073</v>
      </c>
      <c r="C1993" s="13" t="s">
        <v>1267</v>
      </c>
      <c r="D1993" s="14"/>
      <c r="E1993" s="9">
        <v>9.4</v>
      </c>
      <c r="F1993" s="9">
        <f aca="true" t="shared" si="63" ref="F1993:F2020">D1993*E1993</f>
        <v>0</v>
      </c>
      <c r="G1993" s="13"/>
      <c r="H1993" s="14" t="str">
        <f>HYPERLINK("https://pulti.ua/soputstvuyushie-tovari/batareiki-tesler-alkaline-lr03-2--size--aaa-2-shtuki-blister")</f>
        <v>https://pulti.ua/soputstvuyushie-tovari/batareiki-tesler-alkaline-lr03-2--size--aaa-2-shtuki-blister</v>
      </c>
    </row>
    <row r="1994" spans="1:8" s="18" customFormat="1" ht="15" customHeight="1">
      <c r="A1994" s="11">
        <v>3548</v>
      </c>
      <c r="B1994" s="12" t="s">
        <v>2074</v>
      </c>
      <c r="C1994" s="13" t="s">
        <v>1267</v>
      </c>
      <c r="D1994" s="14"/>
      <c r="E1994" s="9">
        <v>9.4</v>
      </c>
      <c r="F1994" s="9">
        <f t="shared" si="63"/>
        <v>0</v>
      </c>
      <c r="G1994" s="13"/>
      <c r="H1994" s="14" t="str">
        <f>HYPERLINK("https://pulti.ua/soputstvuyushie-tovari/batareiki-tesler-alkaline-lr06-2--size--aa-2-shtuki-blister")</f>
        <v>https://pulti.ua/soputstvuyushie-tovari/batareiki-tesler-alkaline-lr06-2--size--aa-2-shtuki-blister</v>
      </c>
    </row>
    <row r="1995" spans="1:8" s="18" customFormat="1" ht="15" customHeight="1">
      <c r="A1995" s="11">
        <v>3839</v>
      </c>
      <c r="B1995" s="12" t="s">
        <v>2075</v>
      </c>
      <c r="C1995" s="13" t="s">
        <v>1267</v>
      </c>
      <c r="D1995" s="14"/>
      <c r="E1995" s="9">
        <v>3.8</v>
      </c>
      <c r="F1995" s="9">
        <f t="shared" si="63"/>
        <v>0</v>
      </c>
      <c r="G1995" s="13"/>
      <c r="H1995" s="14" t="str">
        <f>HYPERLINK("https://pulti.ua/soputstvuyushie-tovari/batareiki--tesler-eco-series-lr03-size-aaa-4-shtuki-polietilen")</f>
        <v>https://pulti.ua/soputstvuyushie-tovari/batareiki--tesler-eco-series-lr03-size-aaa-4-shtuki-polietilen</v>
      </c>
    </row>
    <row r="1996" spans="1:8" s="18" customFormat="1" ht="15" customHeight="1">
      <c r="A1996" s="11">
        <v>3838</v>
      </c>
      <c r="B1996" s="12" t="s">
        <v>2076</v>
      </c>
      <c r="C1996" s="13" t="s">
        <v>1267</v>
      </c>
      <c r="D1996" s="14"/>
      <c r="E1996" s="9">
        <v>3.8</v>
      </c>
      <c r="F1996" s="9">
        <f t="shared" si="63"/>
        <v>0</v>
      </c>
      <c r="G1996" s="13"/>
      <c r="H1996" s="14" t="str">
        <f>HYPERLINK("https://pulti.ua/soputstvuyushie-tovari/batareiki--tesler-eco-series-lr06-size-aa-4-shtuki-polietilen")</f>
        <v>https://pulti.ua/soputstvuyushie-tovari/batareiki--tesler-eco-series-lr06-size-aa-4-shtuki-polietilen</v>
      </c>
    </row>
    <row r="1997" spans="1:8" s="18" customFormat="1" ht="15" customHeight="1">
      <c r="A1997" s="11">
        <v>4759</v>
      </c>
      <c r="B1997" s="12" t="s">
        <v>2077</v>
      </c>
      <c r="C1997" s="13" t="s">
        <v>1267</v>
      </c>
      <c r="D1997" s="14"/>
      <c r="E1997" s="9">
        <v>9.4</v>
      </c>
      <c r="F1997" s="9">
        <f t="shared" si="63"/>
        <v>0</v>
      </c>
      <c r="G1997" s="13"/>
      <c r="H1997" s="14" t="str">
        <f>HYPERLINK("https://pulti.ua/soputstvuyushie-tovari/batarejka-videx-alkaline-lr6-size-aa")</f>
        <v>https://pulti.ua/soputstvuyushie-tovari/batarejka-videx-alkaline-lr6-size-aa</v>
      </c>
    </row>
    <row r="1998" spans="1:8" s="18" customFormat="1" ht="15" customHeight="1">
      <c r="A1998" s="11">
        <v>3771</v>
      </c>
      <c r="B1998" s="12" t="s">
        <v>2078</v>
      </c>
      <c r="C1998" s="13" t="s">
        <v>1267</v>
      </c>
      <c r="D1998" s="14"/>
      <c r="E1998" s="9">
        <v>9.8</v>
      </c>
      <c r="F1998" s="9">
        <f t="shared" si="63"/>
        <v>0</v>
      </c>
      <c r="G1998" s="13"/>
      <c r="H1998" s="14" t="str">
        <f>HYPERLINK("https://pulti.ua/soputstvuyushie-tovari/batareiki-videx-cr2025-blister")</f>
        <v>https://pulti.ua/soputstvuyushie-tovari/batareiki-videx-cr2025-blister</v>
      </c>
    </row>
    <row r="1999" spans="1:8" s="18" customFormat="1" ht="15" customHeight="1">
      <c r="A1999" s="11">
        <v>3452</v>
      </c>
      <c r="B1999" s="12" t="s">
        <v>1268</v>
      </c>
      <c r="C1999" s="13" t="s">
        <v>1267</v>
      </c>
      <c r="D1999" s="14"/>
      <c r="E1999" s="9">
        <v>3.8</v>
      </c>
      <c r="F1999" s="9">
        <f t="shared" si="63"/>
        <v>0</v>
      </c>
      <c r="G1999" s="13"/>
      <c r="H1999" s="14" t="str">
        <f>HYPERLINK("https://pulti.ua/soputstvuyushie-tovari/batareiki-videx-lr03-size-aaa-4-shtuki-upakovka")</f>
        <v>https://pulti.ua/soputstvuyushie-tovari/batareiki-videx-lr03-size-aaa-4-shtuki-upakovka</v>
      </c>
    </row>
    <row r="2000" spans="1:8" s="18" customFormat="1" ht="15" customHeight="1">
      <c r="A2000" s="11">
        <v>3451</v>
      </c>
      <c r="B2000" s="12" t="s">
        <v>1269</v>
      </c>
      <c r="C2000" s="13" t="s">
        <v>1267</v>
      </c>
      <c r="D2000" s="14"/>
      <c r="E2000" s="9">
        <v>3.8</v>
      </c>
      <c r="F2000" s="9">
        <f t="shared" si="63"/>
        <v>0</v>
      </c>
      <c r="G2000" s="13"/>
      <c r="H2000" s="14" t="str">
        <f>HYPERLINK("https://pulti.ua/soputstvuyushie-tovari/batareiki-videx-lr06-size-aa-4-shtuki-upakovka")</f>
        <v>https://pulti.ua/soputstvuyushie-tovari/batareiki-videx-lr06-size-aa-4-shtuki-upakovka</v>
      </c>
    </row>
    <row r="2001" spans="1:8" s="18" customFormat="1" ht="15" customHeight="1">
      <c r="A2001" s="11">
        <v>948</v>
      </c>
      <c r="B2001" s="12" t="s">
        <v>2079</v>
      </c>
      <c r="C2001" s="13" t="s">
        <v>1270</v>
      </c>
      <c r="D2001" s="14"/>
      <c r="E2001" s="9"/>
      <c r="F2001" s="9"/>
      <c r="G2001" s="13"/>
      <c r="H2001" s="14"/>
    </row>
    <row r="2002" spans="1:8" s="18" customFormat="1" ht="15" customHeight="1">
      <c r="A2002" s="11">
        <v>947</v>
      </c>
      <c r="B2002" s="12" t="s">
        <v>2080</v>
      </c>
      <c r="C2002" s="13" t="s">
        <v>1270</v>
      </c>
      <c r="D2002" s="14"/>
      <c r="E2002" s="9"/>
      <c r="F2002" s="9"/>
      <c r="G2002" s="13"/>
      <c r="H2002" s="14"/>
    </row>
    <row r="2003" spans="1:8" s="18" customFormat="1" ht="15" customHeight="1">
      <c r="A2003" s="11">
        <v>943</v>
      </c>
      <c r="B2003" s="12" t="s">
        <v>1271</v>
      </c>
      <c r="C2003" s="13" t="s">
        <v>1272</v>
      </c>
      <c r="D2003" s="14"/>
      <c r="E2003" s="9">
        <v>5.3</v>
      </c>
      <c r="F2003" s="9">
        <f t="shared" si="63"/>
        <v>0</v>
      </c>
      <c r="G2003" s="13"/>
      <c r="H2003" s="14"/>
    </row>
    <row r="2004" spans="1:8" s="18" customFormat="1" ht="15" customHeight="1">
      <c r="A2004" s="11">
        <v>946</v>
      </c>
      <c r="B2004" s="12" t="s">
        <v>2081</v>
      </c>
      <c r="C2004" s="13" t="s">
        <v>1273</v>
      </c>
      <c r="D2004" s="14"/>
      <c r="E2004" s="9"/>
      <c r="F2004" s="9"/>
      <c r="G2004" s="13"/>
      <c r="H2004" s="14"/>
    </row>
    <row r="2005" spans="1:8" s="18" customFormat="1" ht="15" customHeight="1">
      <c r="A2005" s="11">
        <v>3835</v>
      </c>
      <c r="B2005" s="12" t="s">
        <v>2082</v>
      </c>
      <c r="C2005" s="13" t="s">
        <v>1274</v>
      </c>
      <c r="D2005" s="14"/>
      <c r="E2005" s="9">
        <v>112.5</v>
      </c>
      <c r="F2005" s="9">
        <f t="shared" si="63"/>
        <v>0</v>
      </c>
      <c r="G2005" s="13"/>
      <c r="H2005" s="14" t="str">
        <f>HYPERLINK("https://pulti.ua/soputstvuyushie-tovari/paketiki-dlya-pultov-razmer-7sm-27sm-100-sht-v-upakovke")</f>
        <v>https://pulti.ua/soputstvuyushie-tovari/paketiki-dlya-pultov-razmer-7sm-27sm-100-sht-v-upakovke</v>
      </c>
    </row>
    <row r="2006" spans="1:8" s="18" customFormat="1" ht="15" customHeight="1">
      <c r="A2006" s="11">
        <v>4793</v>
      </c>
      <c r="B2006" s="12" t="s">
        <v>2083</v>
      </c>
      <c r="C2006" s="13" t="s">
        <v>1274</v>
      </c>
      <c r="D2006" s="14"/>
      <c r="E2006" s="9">
        <v>105</v>
      </c>
      <c r="F2006" s="9">
        <f t="shared" si="63"/>
        <v>0</v>
      </c>
      <c r="G2006" s="13"/>
      <c r="H2006" s="14" t="str">
        <f>HYPERLINK("https://pulti.ua/soputstvuyushie-tovari/paket-chehol-dlya-pulta-ziplock-18sm")</f>
        <v>https://pulti.ua/soputstvuyushie-tovari/paket-chehol-dlya-pulta-ziplock-18sm</v>
      </c>
    </row>
    <row r="2007" spans="1:8" s="18" customFormat="1" ht="15" customHeight="1">
      <c r="A2007" s="11">
        <v>4791</v>
      </c>
      <c r="B2007" s="12" t="s">
        <v>2084</v>
      </c>
      <c r="C2007" s="13" t="s">
        <v>1274</v>
      </c>
      <c r="D2007" s="14"/>
      <c r="E2007" s="9">
        <v>112.5</v>
      </c>
      <c r="F2007" s="9">
        <f t="shared" si="63"/>
        <v>0</v>
      </c>
      <c r="G2007" s="13"/>
      <c r="H2007" s="14" t="str">
        <f>HYPERLINK("https://pulti.ua/soputstvuyushie-tovari/paket-chehol-dlya-pulta-ziplock-25sm")</f>
        <v>https://pulti.ua/soputstvuyushie-tovari/paket-chehol-dlya-pulta-ziplock-25sm</v>
      </c>
    </row>
    <row r="2008" spans="1:8" s="18" customFormat="1" ht="15" customHeight="1">
      <c r="A2008" s="11">
        <v>4493</v>
      </c>
      <c r="B2008" s="12" t="s">
        <v>2085</v>
      </c>
      <c r="C2008" s="13" t="s">
        <v>1276</v>
      </c>
      <c r="D2008" s="14"/>
      <c r="E2008" s="9">
        <v>206.3</v>
      </c>
      <c r="F2008" s="9">
        <f t="shared" si="63"/>
        <v>0</v>
      </c>
      <c r="G2008" s="13"/>
      <c r="H2008" s="14" t="str">
        <f>HYPERLINK("https://pulti.ua/air_mouse/prezenter-p016-wireless-presenter")</f>
        <v>https://pulti.ua/air_mouse/prezenter-p016-wireless-presenter</v>
      </c>
    </row>
    <row r="2009" spans="1:8" s="18" customFormat="1" ht="15" customHeight="1">
      <c r="A2009" s="11">
        <v>4064</v>
      </c>
      <c r="B2009" s="12" t="s">
        <v>1275</v>
      </c>
      <c r="C2009" s="13" t="s">
        <v>1276</v>
      </c>
      <c r="D2009" s="14"/>
      <c r="E2009" s="9">
        <v>375</v>
      </c>
      <c r="F2009" s="9">
        <f t="shared" si="63"/>
        <v>0</v>
      </c>
      <c r="G2009" s="13"/>
      <c r="H2009" s="14" t="str">
        <f>HYPERLINK("https://pulti.ua/index.php?route=product/product&amp;path=31492&amp;product_id=385997")</f>
        <v>https://pulti.ua/index.php?route=product/product&amp;path=31492&amp;product_id=385997</v>
      </c>
    </row>
    <row r="2010" spans="1:8" s="18" customFormat="1" ht="15" customHeight="1">
      <c r="A2010" s="11">
        <v>4494</v>
      </c>
      <c r="B2010" s="12" t="s">
        <v>2086</v>
      </c>
      <c r="C2010" s="13" t="s">
        <v>1276</v>
      </c>
      <c r="D2010" s="14"/>
      <c r="E2010" s="9">
        <v>225</v>
      </c>
      <c r="F2010" s="9">
        <f t="shared" si="63"/>
        <v>0</v>
      </c>
      <c r="G2010" s="13"/>
      <c r="H2010" s="14" t="str">
        <f>HYPERLINK("https://pulti.ua/air_mouse/prezenter-t5-wireless-presenter")</f>
        <v>https://pulti.ua/air_mouse/prezenter-t5-wireless-presenter</v>
      </c>
    </row>
    <row r="2011" spans="1:8" s="18" customFormat="1" ht="15" customHeight="1">
      <c r="A2011" s="11">
        <v>2824</v>
      </c>
      <c r="B2011" s="12" t="s">
        <v>1277</v>
      </c>
      <c r="C2011" s="13" t="s">
        <v>1278</v>
      </c>
      <c r="D2011" s="14"/>
      <c r="E2011" s="9">
        <v>592.5</v>
      </c>
      <c r="F2011" s="9">
        <f t="shared" si="63"/>
        <v>0</v>
      </c>
      <c r="G2011" s="13"/>
      <c r="H2011" s="14" t="str">
        <f>HYPERLINK("https://pulti.ua/soputstvuyushie-tovari/radioudlinitel-pulta---v-razriv-kabelja")</f>
        <v>https://pulti.ua/soputstvuyushie-tovari/radioudlinitel-pulta---v-razriv-kabelja</v>
      </c>
    </row>
    <row r="2012" spans="1:8" s="18" customFormat="1" ht="15" customHeight="1">
      <c r="A2012" s="11">
        <v>2819</v>
      </c>
      <c r="B2012" s="12" t="s">
        <v>1279</v>
      </c>
      <c r="C2012" s="13" t="s">
        <v>1280</v>
      </c>
      <c r="D2012" s="14"/>
      <c r="E2012" s="9">
        <v>18.8</v>
      </c>
      <c r="F2012" s="9">
        <f t="shared" si="63"/>
        <v>0</v>
      </c>
      <c r="G2012" s="13"/>
      <c r="H2012" s="14" t="str">
        <f>HYPERLINK("https://pulti.ua/soputstvuyushie-tovari/remkomplekt-na-pdu-bez-kleja")</f>
        <v>https://pulti.ua/soputstvuyushie-tovari/remkomplekt-na-pdu-bez-kleja</v>
      </c>
    </row>
    <row r="2013" spans="1:8" s="18" customFormat="1" ht="15" customHeight="1">
      <c r="A2013" s="11">
        <v>2820</v>
      </c>
      <c r="B2013" s="12" t="s">
        <v>1281</v>
      </c>
      <c r="C2013" s="13" t="s">
        <v>1280</v>
      </c>
      <c r="D2013" s="14"/>
      <c r="E2013" s="9">
        <v>45</v>
      </c>
      <c r="F2013" s="9">
        <f t="shared" si="63"/>
        <v>0</v>
      </c>
      <c r="G2013" s="13"/>
      <c r="H2013" s="14" t="str">
        <f>HYPERLINK("https://pulti.ua/soputstvuyushie-tovari/remkomplekt-na-pdu-s-kleem")</f>
        <v>https://pulti.ua/soputstvuyushie-tovari/remkomplekt-na-pdu-s-kleem</v>
      </c>
    </row>
    <row r="2014" spans="1:8" s="18" customFormat="1" ht="15" customHeight="1">
      <c r="A2014" s="11">
        <v>949</v>
      </c>
      <c r="B2014" s="12" t="s">
        <v>2087</v>
      </c>
      <c r="C2014" s="13" t="s">
        <v>1270</v>
      </c>
      <c r="D2014" s="14"/>
      <c r="E2014" s="9"/>
      <c r="F2014" s="9"/>
      <c r="G2014" s="13"/>
      <c r="H2014" s="14"/>
    </row>
    <row r="2015" spans="1:8" s="18" customFormat="1" ht="15" customHeight="1">
      <c r="A2015" s="11">
        <v>4379</v>
      </c>
      <c r="B2015" s="12" t="s">
        <v>1282</v>
      </c>
      <c r="C2015" s="13" t="s">
        <v>1238</v>
      </c>
      <c r="D2015" s="14"/>
      <c r="E2015" s="9">
        <v>562.5</v>
      </c>
      <c r="F2015" s="9">
        <f t="shared" si="63"/>
        <v>0</v>
      </c>
      <c r="G2015" s="13"/>
      <c r="H2015" s="14" t="str">
        <f>HYPERLINK("https://pulti.ua/soputstvuyushie-tovari/tester-dlya-pultov-ot-konditsionerov-qd-jmy2018-s-displeem")</f>
        <v>https://pulti.ua/soputstvuyushie-tovari/tester-dlya-pultov-ot-konditsionerov-qd-jmy2018-s-displeem</v>
      </c>
    </row>
    <row r="2016" spans="1:8" s="18" customFormat="1" ht="15" customHeight="1">
      <c r="A2016" s="39">
        <v>4143</v>
      </c>
      <c r="B2016" s="26" t="s">
        <v>2088</v>
      </c>
      <c r="C2016" s="13" t="s">
        <v>1283</v>
      </c>
      <c r="D2016" s="14"/>
      <c r="E2016" s="9">
        <v>234.4</v>
      </c>
      <c r="F2016" s="9">
        <f t="shared" si="63"/>
        <v>0</v>
      </c>
      <c r="G2016" s="13"/>
      <c r="H2016" s="14" t="str">
        <f>HYPERLINK("https://pulti.ua/soputstvuyushie-tovari/tester-dlya-pultov-huayu-hy-t860e-s-displeem")</f>
        <v>https://pulti.ua/soputstvuyushie-tovari/tester-dlya-pultov-huayu-hy-t860e-s-displeem</v>
      </c>
    </row>
    <row r="2017" spans="1:8" s="18" customFormat="1" ht="15" customHeight="1">
      <c r="A2017" s="11">
        <v>2803</v>
      </c>
      <c r="B2017" s="12" t="s">
        <v>2089</v>
      </c>
      <c r="C2017" s="13" t="s">
        <v>1283</v>
      </c>
      <c r="D2017" s="14"/>
      <c r="E2017" s="9">
        <v>393.8</v>
      </c>
      <c r="F2017" s="9">
        <f t="shared" si="63"/>
        <v>0</v>
      </c>
      <c r="G2017" s="13"/>
      <c r="H2017" s="14" t="str">
        <f>HYPERLINK("https://pulti.ua/soputstvuyushie-tovari/tester-qd-jmy2005-with-display-opredeljaet-20-formatov-pultov")</f>
        <v>https://pulti.ua/soputstvuyushie-tovari/tester-qd-jmy2005-with-display-opredeljaet-20-formatov-pultov</v>
      </c>
    </row>
    <row r="2018" spans="1:8" s="18" customFormat="1" ht="15" customHeight="1">
      <c r="A2018" s="11">
        <v>945</v>
      </c>
      <c r="B2018" s="12" t="s">
        <v>2090</v>
      </c>
      <c r="C2018" s="13" t="s">
        <v>1273</v>
      </c>
      <c r="D2018" s="14"/>
      <c r="E2018" s="9"/>
      <c r="F2018" s="9"/>
      <c r="G2018" s="13"/>
      <c r="H2018" s="14" t="str">
        <f>HYPERLINK("https://pulti.ua/soputstvuyushie-tovari/firmenniy-kalendar")</f>
        <v>https://pulti.ua/soputstvuyushie-tovari/firmenniy-kalendar</v>
      </c>
    </row>
    <row r="2019" spans="1:8" s="18" customFormat="1" ht="15" customHeight="1">
      <c r="A2019" s="11">
        <v>4184</v>
      </c>
      <c r="B2019" s="12" t="s">
        <v>2091</v>
      </c>
      <c r="C2019" s="13" t="s">
        <v>1284</v>
      </c>
      <c r="D2019" s="14"/>
      <c r="E2019" s="9">
        <v>75</v>
      </c>
      <c r="F2019" s="9">
        <f t="shared" si="63"/>
        <v>0</v>
      </c>
      <c r="G2019" s="13"/>
      <c r="H2019" s="14" t="str">
        <f>HYPERLINK("https://pulti.ua/soputstvuyushie-tovari/chehol-dlya-pulta-changer-4in1-hr-56g-50x195")</f>
        <v>https://pulti.ua/soputstvuyushie-tovari/chehol-dlya-pulta-changer-4in1-hr-56g-50x195</v>
      </c>
    </row>
    <row r="2020" spans="1:8" s="18" customFormat="1" ht="15" customHeight="1">
      <c r="A2020" s="11">
        <v>2956</v>
      </c>
      <c r="B2020" s="12" t="s">
        <v>2092</v>
      </c>
      <c r="C2020" s="13" t="s">
        <v>1285</v>
      </c>
      <c r="D2020" s="14"/>
      <c r="E2020" s="9">
        <v>63.4</v>
      </c>
      <c r="F2020" s="9">
        <f t="shared" si="63"/>
        <v>0</v>
      </c>
      <c r="G2020" s="13"/>
      <c r="H2020" s="14" t="str">
        <f>HYPERLINK("https://pulti.ua/soputstvuyushie-tovari/chehol-termousadka-na-pult-razmer-11sm-27sm-5-sht-v-upakovke")</f>
        <v>https://pulti.ua/soputstvuyushie-tovari/chehol-termousadka-na-pult-razmer-11sm-27sm-5-sht-v-upakovke</v>
      </c>
    </row>
    <row r="2021" spans="1:8" s="18" customFormat="1" ht="15" customHeight="1">
      <c r="A2021" s="14"/>
      <c r="B2021" s="16" t="s">
        <v>1286</v>
      </c>
      <c r="C2021" s="14"/>
      <c r="D2021" s="14"/>
      <c r="E2021" s="9"/>
      <c r="F2021" s="9"/>
      <c r="G2021" s="13"/>
      <c r="H2021" s="14"/>
    </row>
    <row r="2022" spans="1:8" s="18" customFormat="1" ht="15" customHeight="1">
      <c r="A2022" s="11">
        <v>901</v>
      </c>
      <c r="B2022" s="12" t="s">
        <v>2093</v>
      </c>
      <c r="C2022" s="13" t="s">
        <v>1287</v>
      </c>
      <c r="D2022" s="14"/>
      <c r="E2022" s="9">
        <v>93.8</v>
      </c>
      <c r="F2022" s="9">
        <f aca="true" t="shared" si="64" ref="F2022:F2037">D2022*E2022</f>
        <v>0</v>
      </c>
      <c r="G2022" s="13"/>
      <c r="H2022" s="14"/>
    </row>
    <row r="2023" spans="1:8" s="18" customFormat="1" ht="15" customHeight="1">
      <c r="A2023" s="11">
        <v>896</v>
      </c>
      <c r="B2023" s="12" t="s">
        <v>2094</v>
      </c>
      <c r="C2023" s="13" t="s">
        <v>1287</v>
      </c>
      <c r="D2023" s="14"/>
      <c r="E2023" s="9">
        <v>56.3</v>
      </c>
      <c r="F2023" s="9">
        <f t="shared" si="64"/>
        <v>0</v>
      </c>
      <c r="G2023" s="13"/>
      <c r="H2023" s="14"/>
    </row>
    <row r="2024" spans="1:8" s="18" customFormat="1" ht="15" customHeight="1">
      <c r="A2024" s="11">
        <v>897</v>
      </c>
      <c r="B2024" s="12" t="s">
        <v>2095</v>
      </c>
      <c r="C2024" s="13" t="s">
        <v>1287</v>
      </c>
      <c r="D2024" s="14"/>
      <c r="E2024" s="9">
        <v>86.3</v>
      </c>
      <c r="F2024" s="9">
        <f t="shared" si="64"/>
        <v>0</v>
      </c>
      <c r="G2024" s="13"/>
      <c r="H2024" s="14"/>
    </row>
    <row r="2025" spans="1:8" s="18" customFormat="1" ht="15" customHeight="1">
      <c r="A2025" s="11">
        <v>905</v>
      </c>
      <c r="B2025" s="12" t="s">
        <v>2096</v>
      </c>
      <c r="C2025" s="13" t="s">
        <v>1287</v>
      </c>
      <c r="D2025" s="14"/>
      <c r="E2025" s="9">
        <v>56.3</v>
      </c>
      <c r="F2025" s="9">
        <f t="shared" si="64"/>
        <v>0</v>
      </c>
      <c r="G2025" s="13"/>
      <c r="H2025" s="14"/>
    </row>
    <row r="2026" spans="1:8" s="18" customFormat="1" ht="15" customHeight="1">
      <c r="A2026" s="11">
        <v>925</v>
      </c>
      <c r="B2026" s="12" t="s">
        <v>2097</v>
      </c>
      <c r="C2026" s="13" t="s">
        <v>1287</v>
      </c>
      <c r="D2026" s="14"/>
      <c r="E2026" s="9">
        <v>26.3</v>
      </c>
      <c r="F2026" s="9">
        <f t="shared" si="64"/>
        <v>0</v>
      </c>
      <c r="G2026" s="13"/>
      <c r="H2026" s="14"/>
    </row>
    <row r="2027" spans="1:8" s="18" customFormat="1" ht="15" customHeight="1">
      <c r="A2027" s="11">
        <v>315</v>
      </c>
      <c r="B2027" s="12" t="s">
        <v>1288</v>
      </c>
      <c r="C2027" s="13" t="s">
        <v>1289</v>
      </c>
      <c r="D2027" s="14"/>
      <c r="E2027" s="9">
        <v>131.3</v>
      </c>
      <c r="F2027" s="9">
        <f t="shared" si="64"/>
        <v>0</v>
      </c>
      <c r="G2027" s="13"/>
      <c r="H2027" s="14"/>
    </row>
    <row r="2028" spans="1:8" s="18" customFormat="1" ht="15" customHeight="1">
      <c r="A2028" s="11">
        <v>318</v>
      </c>
      <c r="B2028" s="12" t="s">
        <v>1290</v>
      </c>
      <c r="C2028" s="13" t="s">
        <v>1289</v>
      </c>
      <c r="D2028" s="14"/>
      <c r="E2028" s="9">
        <v>131.3</v>
      </c>
      <c r="F2028" s="9">
        <f t="shared" si="64"/>
        <v>0</v>
      </c>
      <c r="G2028" s="13"/>
      <c r="H2028" s="14"/>
    </row>
    <row r="2029" spans="1:8" s="18" customFormat="1" ht="15" customHeight="1">
      <c r="A2029" s="11">
        <v>408</v>
      </c>
      <c r="B2029" s="12" t="s">
        <v>1291</v>
      </c>
      <c r="C2029" s="13" t="s">
        <v>1292</v>
      </c>
      <c r="D2029" s="14"/>
      <c r="E2029" s="9">
        <v>168.8</v>
      </c>
      <c r="F2029" s="9">
        <f t="shared" si="64"/>
        <v>0</v>
      </c>
      <c r="G2029" s="13"/>
      <c r="H2029" s="14"/>
    </row>
    <row r="2030" spans="1:8" s="18" customFormat="1" ht="15" customHeight="1">
      <c r="A2030" s="11">
        <v>510</v>
      </c>
      <c r="B2030" s="12" t="s">
        <v>1293</v>
      </c>
      <c r="C2030" s="13" t="s">
        <v>1292</v>
      </c>
      <c r="D2030" s="14"/>
      <c r="E2030" s="9">
        <v>168.8</v>
      </c>
      <c r="F2030" s="9">
        <f t="shared" si="64"/>
        <v>0</v>
      </c>
      <c r="G2030" s="13"/>
      <c r="H2030" s="14"/>
    </row>
    <row r="2031" spans="1:8" s="18" customFormat="1" ht="15" customHeight="1">
      <c r="A2031" s="11">
        <v>570</v>
      </c>
      <c r="B2031" s="12" t="s">
        <v>1294</v>
      </c>
      <c r="C2031" s="13" t="s">
        <v>1292</v>
      </c>
      <c r="D2031" s="14"/>
      <c r="E2031" s="9">
        <v>168.8</v>
      </c>
      <c r="F2031" s="9">
        <f t="shared" si="64"/>
        <v>0</v>
      </c>
      <c r="G2031" s="13"/>
      <c r="H2031" s="14"/>
    </row>
    <row r="2032" spans="1:8" s="18" customFormat="1" ht="15" customHeight="1">
      <c r="A2032" s="11">
        <v>743</v>
      </c>
      <c r="B2032" s="12" t="s">
        <v>1295</v>
      </c>
      <c r="C2032" s="13" t="s">
        <v>1292</v>
      </c>
      <c r="D2032" s="14"/>
      <c r="E2032" s="9">
        <v>168.8</v>
      </c>
      <c r="F2032" s="9">
        <f t="shared" si="64"/>
        <v>0</v>
      </c>
      <c r="G2032" s="13"/>
      <c r="H2032" s="14"/>
    </row>
    <row r="2033" spans="1:8" s="18" customFormat="1" ht="15" customHeight="1">
      <c r="A2033" s="11">
        <v>756</v>
      </c>
      <c r="B2033" s="12" t="s">
        <v>1296</v>
      </c>
      <c r="C2033" s="13" t="s">
        <v>1292</v>
      </c>
      <c r="D2033" s="14"/>
      <c r="E2033" s="9">
        <v>168.8</v>
      </c>
      <c r="F2033" s="9">
        <f t="shared" si="64"/>
        <v>0</v>
      </c>
      <c r="G2033" s="13"/>
      <c r="H2033" s="14"/>
    </row>
    <row r="2034" spans="1:8" s="18" customFormat="1" ht="15" customHeight="1">
      <c r="A2034" s="11">
        <v>834</v>
      </c>
      <c r="B2034" s="12" t="s">
        <v>1297</v>
      </c>
      <c r="C2034" s="13" t="s">
        <v>1292</v>
      </c>
      <c r="D2034" s="14"/>
      <c r="E2034" s="9">
        <v>168.8</v>
      </c>
      <c r="F2034" s="9">
        <f t="shared" si="64"/>
        <v>0</v>
      </c>
      <c r="G2034" s="13"/>
      <c r="H2034" s="14"/>
    </row>
    <row r="2035" spans="1:8" s="18" customFormat="1" ht="15" customHeight="1">
      <c r="A2035" s="11">
        <v>845</v>
      </c>
      <c r="B2035" s="12" t="s">
        <v>1298</v>
      </c>
      <c r="C2035" s="13" t="s">
        <v>1292</v>
      </c>
      <c r="D2035" s="14"/>
      <c r="E2035" s="9">
        <v>168.8</v>
      </c>
      <c r="F2035" s="9">
        <f t="shared" si="64"/>
        <v>0</v>
      </c>
      <c r="G2035" s="13"/>
      <c r="H2035" s="14"/>
    </row>
    <row r="2036" spans="1:8" s="18" customFormat="1" ht="15" customHeight="1">
      <c r="A2036" s="11">
        <v>857</v>
      </c>
      <c r="B2036" s="12" t="s">
        <v>1299</v>
      </c>
      <c r="C2036" s="13" t="s">
        <v>1292</v>
      </c>
      <c r="D2036" s="14"/>
      <c r="E2036" s="9">
        <v>168.8</v>
      </c>
      <c r="F2036" s="9">
        <f t="shared" si="64"/>
        <v>0</v>
      </c>
      <c r="G2036" s="13"/>
      <c r="H2036" s="14"/>
    </row>
    <row r="2037" spans="1:8" s="18" customFormat="1" ht="15" customHeight="1">
      <c r="A2037" s="11">
        <v>851</v>
      </c>
      <c r="B2037" s="12" t="s">
        <v>1300</v>
      </c>
      <c r="C2037" s="13" t="s">
        <v>1292</v>
      </c>
      <c r="D2037" s="14"/>
      <c r="E2037" s="9">
        <v>168.8</v>
      </c>
      <c r="F2037" s="9">
        <f t="shared" si="64"/>
        <v>0</v>
      </c>
      <c r="G2037" s="13"/>
      <c r="H2037" s="14"/>
    </row>
  </sheetData>
  <sheetProtection/>
  <autoFilter ref="A11:H2037"/>
  <mergeCells count="7">
    <mergeCell ref="A1:F1"/>
    <mergeCell ref="C5:D5"/>
    <mergeCell ref="C6:D6"/>
    <mergeCell ref="E3:F3"/>
    <mergeCell ref="E4:F4"/>
    <mergeCell ref="C3:D3"/>
    <mergeCell ref="C4:D4"/>
  </mergeCells>
  <hyperlinks>
    <hyperlink ref="B3" r:id="rId1" display=" Telegram канал по ссылке"/>
    <hyperlink ref="F9" r:id="rId2" display=" Telegram канал по ссылке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Solodilova</dc:creator>
  <cp:keywords/>
  <dc:description/>
  <cp:lastModifiedBy>Владимир</cp:lastModifiedBy>
  <dcterms:created xsi:type="dcterms:W3CDTF">2016-07-19T20:10:15Z</dcterms:created>
  <dcterms:modified xsi:type="dcterms:W3CDTF">2022-07-20T10:17:21Z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